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3" i="1"/>
  <c r="D23"/>
  <c r="C24"/>
  <c r="D24"/>
  <c r="C22"/>
  <c r="D22"/>
  <c r="C21"/>
  <c r="D21"/>
  <c r="C20"/>
  <c r="D20"/>
  <c r="C19"/>
  <c r="D19"/>
  <c r="C18"/>
  <c r="D18"/>
  <c r="C17"/>
  <c r="D17"/>
  <c r="C16"/>
  <c r="D16"/>
  <c r="C14"/>
  <c r="D14"/>
  <c r="C15"/>
  <c r="D15"/>
  <c r="U24"/>
  <c r="O24"/>
  <c r="U23"/>
  <c r="O23"/>
  <c r="U22"/>
  <c r="O22"/>
  <c r="U21"/>
  <c r="O21"/>
  <c r="U20"/>
  <c r="O20"/>
  <c r="U19"/>
  <c r="O19"/>
  <c r="U18"/>
  <c r="O18"/>
  <c r="U17"/>
  <c r="O17"/>
  <c r="U16"/>
  <c r="O16"/>
  <c r="U15"/>
  <c r="O15"/>
  <c r="U14"/>
  <c r="O14"/>
  <c r="AY24"/>
  <c r="AY23"/>
  <c r="AY22"/>
  <c r="AY21"/>
  <c r="AY20"/>
  <c r="AY19"/>
  <c r="AY18"/>
  <c r="AY17"/>
  <c r="AY16"/>
  <c r="AY15"/>
  <c r="AY14"/>
  <c r="K24"/>
  <c r="K23"/>
  <c r="I23"/>
  <c r="G23"/>
  <c r="K22"/>
  <c r="I22"/>
  <c r="G22"/>
  <c r="K21"/>
  <c r="I21"/>
  <c r="G21"/>
  <c r="K20"/>
  <c r="I20"/>
  <c r="G20"/>
  <c r="K19"/>
  <c r="I19"/>
  <c r="G19"/>
  <c r="K18"/>
  <c r="I18"/>
  <c r="G18"/>
  <c r="K17"/>
  <c r="G17"/>
  <c r="K16"/>
  <c r="K15"/>
  <c r="I15"/>
  <c r="G15"/>
  <c r="K14"/>
  <c r="BA24"/>
  <c r="AW24"/>
  <c r="BA23"/>
  <c r="AW23"/>
  <c r="BA22"/>
  <c r="AW22"/>
  <c r="BA21"/>
  <c r="AW21"/>
  <c r="BA20"/>
  <c r="AW20"/>
  <c r="BA19"/>
  <c r="AW19"/>
  <c r="BA18"/>
  <c r="AW18"/>
  <c r="AW17"/>
  <c r="AW16"/>
  <c r="AW15"/>
  <c r="AW14"/>
  <c r="BA17"/>
  <c r="BA16"/>
  <c r="BA15"/>
  <c r="BA14"/>
</calcChain>
</file>

<file path=xl/sharedStrings.xml><?xml version="1.0" encoding="utf-8"?>
<sst xmlns="http://schemas.openxmlformats.org/spreadsheetml/2006/main" count="364" uniqueCount="142">
  <si>
    <t xml:space="preserve">Суммарная оценка качества управления финансами </t>
  </si>
  <si>
    <t>Контрольно-счетная палата города Волгодонска</t>
  </si>
  <si>
    <t>Финансовое управление города Волгодонска</t>
  </si>
  <si>
    <t>Управление образования г.Волгодонска</t>
  </si>
  <si>
    <t>Отдел культуры г. Волгодонска</t>
  </si>
  <si>
    <t>Комитет по физической культуре и спорту  города Волгодонска</t>
  </si>
  <si>
    <t>Комитет по управлению имуществом города Волгодонска</t>
  </si>
  <si>
    <t>Отдел ЗАГС Администрации города Волгодонска</t>
  </si>
  <si>
    <t>Департамент труда и социального развития Администрации города Волгодонска</t>
  </si>
  <si>
    <t>Управление здравоохранения г.Волгодонска</t>
  </si>
  <si>
    <t>Администрация города Волгодонска</t>
  </si>
  <si>
    <t>Оценка показа-теля</t>
  </si>
  <si>
    <t>№ п/п</t>
  </si>
  <si>
    <t xml:space="preserve">Волгодонская городская Дума </t>
  </si>
  <si>
    <t>Фактическое значение показателя</t>
  </si>
  <si>
    <t>Рейтинговая оценка  (суммарная оценка качества управления финансами /количество применимых показателей)</t>
  </si>
  <si>
    <t>Факти-ческое значение показателя</t>
  </si>
  <si>
    <t>Наименование главного распорядителя средств местного бюджета</t>
  </si>
  <si>
    <t xml:space="preserve">
5</t>
  </si>
  <si>
    <t>информация о муниципальном учреждении, подведомственному ГРБС</t>
  </si>
  <si>
    <t>информация о муниципальном задании и его исполнении муниципальным учреждением</t>
  </si>
  <si>
    <t>информация о Плане финансово-хозяйственной деятельности муниципального учреждения</t>
  </si>
  <si>
    <t>информация об операциях с целевыми средствами из бюджета</t>
  </si>
  <si>
    <t>информация о бюджетных обязательствах и их исполнении (бюджетной смете)</t>
  </si>
  <si>
    <t>информация о результатах деятельности муниципального учреждения и об использовании закрепленного за ним муниципального имущества</t>
  </si>
  <si>
    <t>сведения о проведенных в отношении учреждения контрольных мероприятиях и их результатах</t>
  </si>
  <si>
    <t>информация о годовой бухгалтерской отчетности учреждения</t>
  </si>
  <si>
    <t>если 
своевременно</t>
  </si>
  <si>
    <t>отсутствие недостач, хищений денежных средств и материальных средств</t>
  </si>
  <si>
    <t>наличие недостач, хищений денежных средств и материальных средств</t>
  </si>
  <si>
    <t>не размещено</t>
  </si>
  <si>
    <t xml:space="preserve">Оценка показателя </t>
  </si>
  <si>
    <t>Р3 &lt; 90%</t>
  </si>
  <si>
    <t>Фактическое значение показателя (год)</t>
  </si>
  <si>
    <t>Оценка показателя</t>
  </si>
  <si>
    <t xml:space="preserve">Р1 Своевременность представления реестра расходных обязательств ГРБС </t>
  </si>
  <si>
    <t>0 &lt; P1 &lt;= 2</t>
  </si>
  <si>
    <t>2 &lt; P1 &lt;= 5</t>
  </si>
  <si>
    <t>P1 &gt; 5</t>
  </si>
  <si>
    <t xml:space="preserve">Р2 = 100% </t>
  </si>
  <si>
    <t xml:space="preserve">100% &gt; Р2 &gt;= 95% </t>
  </si>
  <si>
    <t xml:space="preserve">95% &gt; Р2 &gt;= 90% </t>
  </si>
  <si>
    <t>Р2 &lt; 90%</t>
  </si>
  <si>
    <t xml:space="preserve">Р3 Доля бюджетных ассигнований на предоставление муниципальных услуг (работ) физическим и юридическим лицам, оказываемых муниципальными учреждениями в соответствии с муниципальными заданиями в общем объеме расходов ГРБС на оказание муниципальных услуг физическим и юридическим лицам. </t>
  </si>
  <si>
    <t xml:space="preserve">Р2 Доля бюджетных ассигнований, представленных в программном виде </t>
  </si>
  <si>
    <t xml:space="preserve">Р3 = 100% </t>
  </si>
  <si>
    <t xml:space="preserve">100% &gt; Р3 &gt;= 95% </t>
  </si>
  <si>
    <t xml:space="preserve">95% &gt; Р3 &gt;= 90% </t>
  </si>
  <si>
    <t>Р4 Исполнение расходов ГРБС за счет средств бюджета города Волгодонска к уточненным бюджетным назначениям</t>
  </si>
  <si>
    <t>Р4 &gt;= 95%</t>
  </si>
  <si>
    <t xml:space="preserve">Р4 &gt;= 90% </t>
  </si>
  <si>
    <t xml:space="preserve">Р4 &gt;= 85% </t>
  </si>
  <si>
    <t xml:space="preserve">Р4 &gt;= 80% </t>
  </si>
  <si>
    <t xml:space="preserve">Р4 &gt;= 70% </t>
  </si>
  <si>
    <t xml:space="preserve">Р4&lt; 70% </t>
  </si>
  <si>
    <t>Р4 &gt;= 40%</t>
  </si>
  <si>
    <t xml:space="preserve">Р4 &gt;= 35% </t>
  </si>
  <si>
    <t xml:space="preserve">Р4 &gt;= 30% </t>
  </si>
  <si>
    <t xml:space="preserve">Р4 &gt;= 25% </t>
  </si>
  <si>
    <t xml:space="preserve">Р4 &gt;= 20% </t>
  </si>
  <si>
    <t xml:space="preserve">Р4&lt; 20% </t>
  </si>
  <si>
    <t>Фактическое значение показателя (1 полугодие)</t>
  </si>
  <si>
    <t xml:space="preserve">Р5 Доля кассовых расходов произведенных ГРБС и подведомственными ему муниципальными учреждениями в 4 квартале отчетного года </t>
  </si>
  <si>
    <t xml:space="preserve">Р5&lt; = 35% </t>
  </si>
  <si>
    <t xml:space="preserve">35%&lt; Р5 &lt; =40% </t>
  </si>
  <si>
    <t>40%&lt; Р5 &lt; 45%</t>
  </si>
  <si>
    <t>Р5 =&gt; 45%</t>
  </si>
  <si>
    <t xml:space="preserve">Р6 Наличие у ГРБС и подведомственных ему муниципальных учреждений просроченной дебиторской задолженности </t>
  </si>
  <si>
    <t xml:space="preserve">Р6 = 0 </t>
  </si>
  <si>
    <t xml:space="preserve">Р6 &gt; 0 </t>
  </si>
  <si>
    <t xml:space="preserve">Р7 Наличие у ГРБС и подведомственных ему муниципальных учреждений просроченной кредиторской задолженности </t>
  </si>
  <si>
    <t xml:space="preserve">Р7 = 0 </t>
  </si>
  <si>
    <t xml:space="preserve">Р7 &gt; 0 </t>
  </si>
  <si>
    <t>Р8 Эффективность управления ГРБС и подведомственными ему муниципальными учреждениями кредиторской задолженностью по расчетам с поставщиками и подрядчиками.</t>
  </si>
  <si>
    <t>P8 &lt; 1%</t>
  </si>
  <si>
    <t>1% &lt; P8 &lt;= 2%</t>
  </si>
  <si>
    <t>2% &lt; P8 &lt;= 3%</t>
  </si>
  <si>
    <t>3% &lt; P8 &lt;= 4%</t>
  </si>
  <si>
    <t>4% &lt; P8 &lt;= 5%</t>
  </si>
  <si>
    <t>P8 &gt; 5%</t>
  </si>
  <si>
    <t>Р9 Своевременность  представления ГРБС годовой бюджетной и бухгалтерской отчетности</t>
  </si>
  <si>
    <t xml:space="preserve">Годовая бюджетная и бухгалтерской отчетность представлена ГРБС в установленные сроки. </t>
  </si>
  <si>
    <t>Количество дней отклонения от сроков представления годовой бюджетной и бухгалтерской отчетности (позже срока) – 1 рабочий день.</t>
  </si>
  <si>
    <t>Количество дней отклонения от сроков представления годовой бюджетной и бухгалтерской отчетности (позже срока) – 2 и более рабочих дня.</t>
  </si>
  <si>
    <t>Р10 Качество годовой бюджетной и бухгалтерской отчетности, представленной ГРБС</t>
  </si>
  <si>
    <t>Все формы отчетности сданы без ошибок.</t>
  </si>
  <si>
    <t>Ошибки содержатся менее чем в 5% форм отчетности.</t>
  </si>
  <si>
    <t>Ошибки содержатся менее чем в 10% форм отчетности.</t>
  </si>
  <si>
    <t>Ошибки содержатся менее чем в 15% форм отчетности.</t>
  </si>
  <si>
    <t>Ошибки содержатся менее чем в 20% форм отчетности.</t>
  </si>
  <si>
    <t>Ошибки содержатся в 20% и более формах отчетности.</t>
  </si>
  <si>
    <t xml:space="preserve">Р11 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постановлением Администрации города Волгодонска 
от 21.10.2015 №2074
</t>
  </si>
  <si>
    <t>Наличие отчета о результатах контроля исполнения муниципальных заданий подведомственными учреждениями ГРБС, размещенного на официальном сайте Администрации города Волгодонска или сайтах ГРБС в информационно-телекоммуникационной сети «Интернет» (актов проверок).</t>
  </si>
  <si>
    <t>Отсутствие отчета о результатах ведомственного контроля исполнения муниципальных заданий подведомственными учреждениями ГРБС.</t>
  </si>
  <si>
    <t>Р12 Наличие результатов оценки качества финансового менеджмента подведомственных учреждений ГРБС и формирование рейтинга на основе методики, утвержденной локальным актом ГРБС</t>
  </si>
  <si>
    <t>Наличие размещенного в информационно-телекоммуникационной сети «Интернет» рейтинга финансового менеджмента.</t>
  </si>
  <si>
    <t>Отсутствие рейтинга финансового менеджмента.</t>
  </si>
  <si>
    <t>Р13 Наличие результатов осуществления мероприятий внутреннего контроля.</t>
  </si>
  <si>
    <t>Наличие заполненной таблицы «Сведения о результатах мероприятий внутреннего контроля».</t>
  </si>
  <si>
    <t>Наличие не заполненной таблицы «Сведения о результатах мероприятий внутреннего контроля».</t>
  </si>
  <si>
    <t>Р14 Наличие недостач и хищений денежных средств и материальных ценностей, отраженных в сводной бухгалтерской (бюджетной) отчетности ГРБС.</t>
  </si>
  <si>
    <t>Р15 Размещение на официальном сайте Администрации города Волгодонска информации о муниципальных программах и фактических результатах их реализации</t>
  </si>
  <si>
    <t>размещено</t>
  </si>
  <si>
    <t>Итоговая оценка Р16</t>
  </si>
  <si>
    <t>Размещено в полном объеме и в срок, установленный приказом Министерства финансов Российской Федерации от 21.07.2011 №86н.</t>
  </si>
  <si>
    <t>Размещено не в полном объеме с нарушением срока, размещено не в полном объеме в срок, размещено в полном объеме с нарушением срока.</t>
  </si>
  <si>
    <t>Не размещено.</t>
  </si>
  <si>
    <t>Р16 Своевременное обеспечение открытости и доступности информации о деятельности муниципальных учреждений на официальном сайте в сети Интернет www.bus.gov.ru согласно приказу Министерства финансов Российской Федерации от 21.07.2011 №86н.</t>
  </si>
  <si>
    <t xml:space="preserve">Р17 Несоответствие заявок на оплату расходов, представленных в Финансовое управление города Волгодонска для осуществления процедуры санкционирования, требованиям приказов Финансового управления города Волгодонска от 21.07.2014 №38Б  и от 30.06.2014 № 32Б. </t>
  </si>
  <si>
    <t>Р14 = 0</t>
  </si>
  <si>
    <t>0%&lt; Р14 &lt; =10%</t>
  </si>
  <si>
    <t>10%&lt; Р14 &lt; =20%</t>
  </si>
  <si>
    <t>20%&lt; Р14 &lt; =30%</t>
  </si>
  <si>
    <t>30%&lt; Р14 &lt; =45%</t>
  </si>
  <si>
    <t>Р14 &gt; 45%</t>
  </si>
  <si>
    <t>Р18 Уровень экономии бюджетных ресурсов, достигнутый посредством использования конкурентных способов закупки ГРБС и подведомственных учреждений.</t>
  </si>
  <si>
    <t>Р18 = 0</t>
  </si>
  <si>
    <t>0 &lt; P18 &lt;= 5</t>
  </si>
  <si>
    <t>5 &lt; P18 &lt;= 10</t>
  </si>
  <si>
    <t>10 &lt; P18 &lt;= 15</t>
  </si>
  <si>
    <t>15 &lt; P18 &lt;= 20</t>
  </si>
  <si>
    <t>P18 &gt; 20</t>
  </si>
  <si>
    <t>Р19 Укомплектованность финансового (финансово-экономического) подразделения ГРБС.</t>
  </si>
  <si>
    <t>Р19 = 100</t>
  </si>
  <si>
    <t>95 &lt;= P19 &lt; 100</t>
  </si>
  <si>
    <t>85 &lt;= P19 &lt; 95</t>
  </si>
  <si>
    <t>P19 &lt; 85</t>
  </si>
  <si>
    <t xml:space="preserve">Приложение 2
к Порядку взаимодействия структурных  подразделений Финансового управления города
Волгодонска при проведении оценки качества  управления финансами главными распорядителями  средств местного бюджета
</t>
  </si>
  <si>
    <t>0</t>
  </si>
  <si>
    <t>не применим</t>
  </si>
  <si>
    <t>размещено с нарушением срока</t>
  </si>
  <si>
    <t>размещено в полном объеме и в срок</t>
  </si>
  <si>
    <t>*</t>
  </si>
  <si>
    <t>размещено не в полном объеме с нарушением срока</t>
  </si>
  <si>
    <t xml:space="preserve">                                                  Мониторинг качества управления финансами главных распорядителей средств местного бюджета за 2017 год</t>
  </si>
  <si>
    <t>размещено не в полном объеме  в срок</t>
  </si>
  <si>
    <t>5</t>
  </si>
  <si>
    <t>4</t>
  </si>
  <si>
    <t>отсутствие недостач</t>
  </si>
  <si>
    <t>наличие недостач</t>
  </si>
  <si>
    <r>
      <rPr>
        <sz val="22"/>
        <color indexed="8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 xml:space="preserve"> -  показатель считается неприменимым</t>
    </r>
  </si>
  <si>
    <t>таблица заполнена</t>
  </si>
</sst>
</file>

<file path=xl/styles.xml><?xml version="1.0" encoding="utf-8"?>
<styleSheet xmlns="http://schemas.openxmlformats.org/spreadsheetml/2006/main">
  <numFmts count="4">
    <numFmt numFmtId="172" formatCode="0.0%"/>
    <numFmt numFmtId="173" formatCode="0.0"/>
    <numFmt numFmtId="174" formatCode="0.0000"/>
    <numFmt numFmtId="175" formatCode="0.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/>
    <xf numFmtId="0" fontId="5" fillId="2" borderId="0" xfId="0" applyFont="1" applyFill="1" applyBorder="1"/>
    <xf numFmtId="0" fontId="0" fillId="2" borderId="0" xfId="0" applyFill="1" applyBorder="1"/>
    <xf numFmtId="173" fontId="5" fillId="2" borderId="0" xfId="0" applyNumberFormat="1" applyFont="1" applyFill="1"/>
    <xf numFmtId="2" fontId="0" fillId="2" borderId="0" xfId="0" applyNumberFormat="1" applyFill="1"/>
    <xf numFmtId="0" fontId="1" fillId="2" borderId="1" xfId="0" applyFont="1" applyFill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vertical="center" wrapText="1"/>
    </xf>
    <xf numFmtId="173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7" fillId="0" borderId="2" xfId="0" applyFont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7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173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Alignment="1"/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tabSelected="1" zoomScale="50" zoomScaleNormal="50" workbookViewId="0">
      <selection activeCell="J1" sqref="J1:R1"/>
    </sheetView>
  </sheetViews>
  <sheetFormatPr defaultRowHeight="15"/>
  <cols>
    <col min="1" max="1" width="7.5703125" style="2" customWidth="1"/>
    <col min="2" max="2" width="40.5703125" style="2" customWidth="1"/>
    <col min="3" max="3" width="19.28515625" style="2" customWidth="1"/>
    <col min="4" max="4" width="16.5703125" style="2" customWidth="1"/>
    <col min="5" max="5" width="20.28515625" style="2" customWidth="1"/>
    <col min="6" max="6" width="8.42578125" style="2" customWidth="1"/>
    <col min="7" max="7" width="18.28515625" style="2" customWidth="1"/>
    <col min="8" max="8" width="8.42578125" style="2" customWidth="1"/>
    <col min="9" max="9" width="19.28515625" style="2" customWidth="1"/>
    <col min="10" max="10" width="12.42578125" style="2" customWidth="1"/>
    <col min="11" max="11" width="12.7109375" style="2" customWidth="1"/>
    <col min="12" max="12" width="13" style="2" customWidth="1"/>
    <col min="13" max="13" width="12.85546875" style="2" customWidth="1"/>
    <col min="14" max="14" width="12.42578125" style="2" customWidth="1"/>
    <col min="15" max="15" width="17.7109375" style="2" customWidth="1"/>
    <col min="16" max="16" width="8.28515625" style="2" customWidth="1"/>
    <col min="17" max="17" width="17.7109375" style="2" customWidth="1"/>
    <col min="18" max="18" width="8.7109375" style="2" customWidth="1"/>
    <col min="19" max="19" width="21.5703125" style="2" customWidth="1"/>
    <col min="20" max="20" width="8.28515625" style="2" customWidth="1"/>
    <col min="21" max="21" width="18.5703125" style="2" customWidth="1"/>
    <col min="22" max="22" width="10.7109375" style="2" customWidth="1"/>
    <col min="23" max="23" width="40" style="2" customWidth="1"/>
    <col min="24" max="24" width="9.140625" style="2" customWidth="1"/>
    <col min="25" max="25" width="27.42578125" style="2" customWidth="1"/>
    <col min="26" max="26" width="9.28515625" style="2" customWidth="1"/>
    <col min="27" max="27" width="34.7109375" style="2" customWidth="1"/>
    <col min="28" max="28" width="9.5703125" style="2" customWidth="1"/>
    <col min="29" max="29" width="25.42578125" style="2" customWidth="1"/>
    <col min="30" max="30" width="8.5703125" style="2" customWidth="1"/>
    <col min="31" max="31" width="23.140625" style="2" customWidth="1"/>
    <col min="32" max="32" width="7.7109375" style="2" customWidth="1"/>
    <col min="33" max="33" width="23.85546875" style="2" customWidth="1"/>
    <col min="34" max="34" width="7.7109375" style="2" customWidth="1"/>
    <col min="35" max="35" width="20.7109375" style="2" customWidth="1"/>
    <col min="36" max="36" width="11.140625" style="2" customWidth="1"/>
    <col min="37" max="37" width="15" style="2" customWidth="1"/>
    <col min="38" max="38" width="19.7109375" style="2" customWidth="1"/>
    <col min="39" max="39" width="27.7109375" style="2" customWidth="1"/>
    <col min="40" max="40" width="27.42578125" style="2" customWidth="1"/>
    <col min="41" max="41" width="8" style="2" hidden="1" customWidth="1"/>
    <col min="42" max="42" width="29.28515625" style="2" customWidth="1"/>
    <col min="43" max="43" width="22.28515625" style="2" customWidth="1"/>
    <col min="44" max="44" width="37.5703125" style="2" customWidth="1"/>
    <col min="45" max="45" width="28.28515625" style="2" customWidth="1"/>
    <col min="46" max="46" width="12.7109375" style="2" customWidth="1"/>
    <col min="47" max="47" width="14.85546875" style="2" customWidth="1"/>
    <col min="48" max="48" width="9.140625" style="2" hidden="1" customWidth="1"/>
    <col min="49" max="49" width="21" style="8" customWidth="1"/>
    <col min="50" max="50" width="11" style="2" customWidth="1"/>
    <col min="51" max="51" width="18.85546875" style="2" customWidth="1"/>
    <col min="52" max="52" width="10.28515625" style="2" customWidth="1"/>
    <col min="53" max="53" width="20.28515625" style="2" customWidth="1"/>
    <col min="54" max="54" width="11" style="2" customWidth="1"/>
    <col min="55" max="16384" width="9.140625" style="2"/>
  </cols>
  <sheetData>
    <row r="1" spans="1:54" ht="87.75" customHeight="1">
      <c r="A1" s="8"/>
      <c r="B1" s="100"/>
      <c r="C1" s="100"/>
      <c r="D1" s="100"/>
      <c r="J1" s="99" t="s">
        <v>127</v>
      </c>
      <c r="K1" s="99"/>
      <c r="L1" s="99"/>
      <c r="M1" s="99"/>
      <c r="N1" s="99"/>
      <c r="O1" s="99"/>
      <c r="P1" s="99"/>
      <c r="Q1" s="99"/>
      <c r="R1" s="99"/>
      <c r="AW1" s="102"/>
      <c r="AX1" s="102"/>
      <c r="AY1" s="102"/>
      <c r="AZ1" s="102"/>
      <c r="BA1" s="102"/>
      <c r="BB1" s="102"/>
    </row>
    <row r="2" spans="1:54">
      <c r="A2" s="8"/>
    </row>
    <row r="3" spans="1:54" ht="31.7" customHeight="1">
      <c r="A3" s="8"/>
      <c r="B3" s="23" t="s">
        <v>134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</row>
    <row r="4" spans="1:54" ht="0.6" customHeight="1">
      <c r="A4" s="8"/>
      <c r="G4" s="101"/>
      <c r="H4" s="101"/>
      <c r="I4" s="101"/>
      <c r="J4" s="101"/>
      <c r="K4" s="101"/>
      <c r="L4" s="101"/>
      <c r="M4" s="101"/>
      <c r="N4" s="101"/>
      <c r="O4" s="101"/>
      <c r="P4" s="101"/>
      <c r="AU4" s="8"/>
      <c r="AV4" s="8"/>
    </row>
    <row r="5" spans="1:54" ht="15.75">
      <c r="A5" s="97" t="s">
        <v>12</v>
      </c>
      <c r="B5" s="98" t="s">
        <v>17</v>
      </c>
      <c r="C5" s="98" t="s">
        <v>15</v>
      </c>
      <c r="D5" s="98" t="s">
        <v>0</v>
      </c>
      <c r="E5" s="91" t="s">
        <v>35</v>
      </c>
      <c r="F5" s="91"/>
      <c r="G5" s="91" t="s">
        <v>44</v>
      </c>
      <c r="H5" s="91"/>
      <c r="I5" s="91" t="s">
        <v>43</v>
      </c>
      <c r="J5" s="91"/>
      <c r="K5" s="91" t="s">
        <v>48</v>
      </c>
      <c r="L5" s="91"/>
      <c r="M5" s="91"/>
      <c r="N5" s="91"/>
      <c r="O5" s="91" t="s">
        <v>62</v>
      </c>
      <c r="P5" s="91"/>
      <c r="Q5" s="91" t="s">
        <v>67</v>
      </c>
      <c r="R5" s="91"/>
      <c r="S5" s="91" t="s">
        <v>70</v>
      </c>
      <c r="T5" s="91"/>
      <c r="U5" s="91" t="s">
        <v>73</v>
      </c>
      <c r="V5" s="91"/>
      <c r="W5" s="91" t="s">
        <v>80</v>
      </c>
      <c r="X5" s="91"/>
      <c r="Y5" s="91" t="s">
        <v>84</v>
      </c>
      <c r="Z5" s="91"/>
      <c r="AA5" s="91" t="s">
        <v>91</v>
      </c>
      <c r="AB5" s="91"/>
      <c r="AC5" s="91" t="s">
        <v>94</v>
      </c>
      <c r="AD5" s="91"/>
      <c r="AE5" s="91" t="s">
        <v>97</v>
      </c>
      <c r="AF5" s="91"/>
      <c r="AG5" s="91" t="s">
        <v>100</v>
      </c>
      <c r="AH5" s="91"/>
      <c r="AI5" s="91" t="s">
        <v>101</v>
      </c>
      <c r="AJ5" s="91"/>
      <c r="AK5" s="98" t="s">
        <v>107</v>
      </c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82"/>
      <c r="AW5" s="103" t="s">
        <v>108</v>
      </c>
      <c r="AX5" s="103"/>
      <c r="AY5" s="103" t="s">
        <v>115</v>
      </c>
      <c r="AZ5" s="103"/>
      <c r="BA5" s="103" t="s">
        <v>122</v>
      </c>
      <c r="BB5" s="103"/>
    </row>
    <row r="6" spans="1:54" ht="132.94999999999999" customHeight="1">
      <c r="A6" s="97"/>
      <c r="B6" s="98"/>
      <c r="C6" s="98"/>
      <c r="D6" s="98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68" t="s">
        <v>103</v>
      </c>
      <c r="AL6" s="4" t="s">
        <v>19</v>
      </c>
      <c r="AM6" s="4" t="s">
        <v>20</v>
      </c>
      <c r="AN6" s="4" t="s">
        <v>21</v>
      </c>
      <c r="AO6" s="4"/>
      <c r="AP6" s="69" t="s">
        <v>22</v>
      </c>
      <c r="AQ6" s="69" t="s">
        <v>23</v>
      </c>
      <c r="AR6" s="69" t="s">
        <v>24</v>
      </c>
      <c r="AS6" s="69" t="s">
        <v>25</v>
      </c>
      <c r="AT6" s="104" t="s">
        <v>26</v>
      </c>
      <c r="AU6" s="104"/>
      <c r="AV6" s="12"/>
      <c r="AW6" s="103"/>
      <c r="AX6" s="103"/>
      <c r="AY6" s="103"/>
      <c r="AZ6" s="103"/>
      <c r="BA6" s="103"/>
      <c r="BB6" s="103"/>
    </row>
    <row r="7" spans="1:54" ht="72" customHeight="1">
      <c r="A7" s="97"/>
      <c r="B7" s="98"/>
      <c r="C7" s="98"/>
      <c r="D7" s="98"/>
      <c r="E7" s="65" t="s">
        <v>14</v>
      </c>
      <c r="F7" s="65" t="s">
        <v>11</v>
      </c>
      <c r="G7" s="65" t="s">
        <v>14</v>
      </c>
      <c r="H7" s="65" t="s">
        <v>11</v>
      </c>
      <c r="I7" s="65" t="s">
        <v>14</v>
      </c>
      <c r="J7" s="65" t="s">
        <v>11</v>
      </c>
      <c r="K7" s="65" t="s">
        <v>33</v>
      </c>
      <c r="L7" s="65" t="s">
        <v>11</v>
      </c>
      <c r="M7" s="65" t="s">
        <v>61</v>
      </c>
      <c r="N7" s="65" t="s">
        <v>11</v>
      </c>
      <c r="O7" s="65" t="s">
        <v>14</v>
      </c>
      <c r="P7" s="65" t="s">
        <v>11</v>
      </c>
      <c r="Q7" s="65" t="s">
        <v>14</v>
      </c>
      <c r="R7" s="65" t="s">
        <v>11</v>
      </c>
      <c r="S7" s="65" t="s">
        <v>14</v>
      </c>
      <c r="T7" s="65" t="s">
        <v>11</v>
      </c>
      <c r="U7" s="65" t="s">
        <v>14</v>
      </c>
      <c r="V7" s="65" t="s">
        <v>34</v>
      </c>
      <c r="W7" s="65" t="s">
        <v>14</v>
      </c>
      <c r="X7" s="65" t="s">
        <v>11</v>
      </c>
      <c r="Y7" s="65" t="s">
        <v>14</v>
      </c>
      <c r="Z7" s="65" t="s">
        <v>11</v>
      </c>
      <c r="AA7" s="65" t="s">
        <v>16</v>
      </c>
      <c r="AB7" s="65" t="s">
        <v>11</v>
      </c>
      <c r="AC7" s="65" t="s">
        <v>14</v>
      </c>
      <c r="AD7" s="65" t="s">
        <v>11</v>
      </c>
      <c r="AE7" s="65" t="s">
        <v>14</v>
      </c>
      <c r="AF7" s="65" t="s">
        <v>11</v>
      </c>
      <c r="AG7" s="65" t="s">
        <v>16</v>
      </c>
      <c r="AH7" s="65" t="s">
        <v>11</v>
      </c>
      <c r="AI7" s="65" t="s">
        <v>14</v>
      </c>
      <c r="AJ7" s="65" t="s">
        <v>34</v>
      </c>
      <c r="AK7" s="65"/>
      <c r="AL7" s="91" t="s">
        <v>14</v>
      </c>
      <c r="AM7" s="91"/>
      <c r="AN7" s="91"/>
      <c r="AO7" s="91"/>
      <c r="AP7" s="91"/>
      <c r="AQ7" s="91"/>
      <c r="AR7" s="91" t="s">
        <v>31</v>
      </c>
      <c r="AS7" s="91"/>
      <c r="AT7" s="91"/>
      <c r="AU7" s="91"/>
      <c r="AV7" s="7"/>
      <c r="AW7" s="65" t="s">
        <v>14</v>
      </c>
      <c r="AX7" s="65" t="s">
        <v>34</v>
      </c>
      <c r="AY7" s="65" t="s">
        <v>14</v>
      </c>
      <c r="AZ7" s="65" t="s">
        <v>34</v>
      </c>
      <c r="BA7" s="65" t="s">
        <v>14</v>
      </c>
      <c r="BB7" s="65" t="s">
        <v>34</v>
      </c>
    </row>
    <row r="8" spans="1:54" s="3" customFormat="1" ht="166.9" customHeight="1">
      <c r="A8" s="97"/>
      <c r="B8" s="98"/>
      <c r="C8" s="98"/>
      <c r="D8" s="98"/>
      <c r="E8" s="19" t="s">
        <v>27</v>
      </c>
      <c r="F8" s="19" t="s">
        <v>18</v>
      </c>
      <c r="G8" s="17" t="s">
        <v>39</v>
      </c>
      <c r="H8" s="19" t="s">
        <v>18</v>
      </c>
      <c r="I8" s="17" t="s">
        <v>45</v>
      </c>
      <c r="J8" s="19" t="s">
        <v>18</v>
      </c>
      <c r="K8" s="15" t="s">
        <v>49</v>
      </c>
      <c r="L8" s="19" t="s">
        <v>18</v>
      </c>
      <c r="M8" s="15" t="s">
        <v>55</v>
      </c>
      <c r="N8" s="19" t="s">
        <v>18</v>
      </c>
      <c r="O8" s="15" t="s">
        <v>63</v>
      </c>
      <c r="P8" s="19" t="s">
        <v>18</v>
      </c>
      <c r="Q8" s="17" t="s">
        <v>68</v>
      </c>
      <c r="R8" s="19" t="s">
        <v>18</v>
      </c>
      <c r="S8" s="17" t="s">
        <v>71</v>
      </c>
      <c r="T8" s="19">
        <v>5</v>
      </c>
      <c r="U8" s="17" t="s">
        <v>74</v>
      </c>
      <c r="V8" s="19">
        <v>5</v>
      </c>
      <c r="W8" s="15" t="s">
        <v>81</v>
      </c>
      <c r="X8" s="16" t="s">
        <v>18</v>
      </c>
      <c r="Y8" s="15" t="s">
        <v>85</v>
      </c>
      <c r="Z8" s="16">
        <v>5</v>
      </c>
      <c r="AA8" s="17" t="s">
        <v>92</v>
      </c>
      <c r="AB8" s="16" t="s">
        <v>18</v>
      </c>
      <c r="AC8" s="17" t="s">
        <v>95</v>
      </c>
      <c r="AD8" s="16" t="s">
        <v>18</v>
      </c>
      <c r="AE8" s="17" t="s">
        <v>98</v>
      </c>
      <c r="AF8" s="16" t="s">
        <v>18</v>
      </c>
      <c r="AG8" s="13" t="s">
        <v>28</v>
      </c>
      <c r="AH8" s="16" t="s">
        <v>18</v>
      </c>
      <c r="AI8" s="6" t="s">
        <v>102</v>
      </c>
      <c r="AJ8" s="16" t="s">
        <v>18</v>
      </c>
      <c r="AK8" s="65"/>
      <c r="AL8" s="91" t="s">
        <v>104</v>
      </c>
      <c r="AM8" s="91"/>
      <c r="AN8" s="91"/>
      <c r="AO8" s="91"/>
      <c r="AP8" s="91"/>
      <c r="AQ8" s="91"/>
      <c r="AR8" s="91">
        <v>5</v>
      </c>
      <c r="AS8" s="91"/>
      <c r="AT8" s="91"/>
      <c r="AU8" s="91"/>
      <c r="AV8" s="83"/>
      <c r="AW8" s="17" t="s">
        <v>109</v>
      </c>
      <c r="AX8" s="84">
        <v>5</v>
      </c>
      <c r="AY8" s="15" t="s">
        <v>116</v>
      </c>
      <c r="AZ8" s="85">
        <v>0</v>
      </c>
      <c r="BA8" s="15" t="s">
        <v>123</v>
      </c>
      <c r="BB8" s="85">
        <v>5</v>
      </c>
    </row>
    <row r="9" spans="1:54" s="3" customFormat="1" ht="89.1" customHeight="1">
      <c r="A9" s="97"/>
      <c r="B9" s="98"/>
      <c r="C9" s="98"/>
      <c r="D9" s="98"/>
      <c r="E9" s="18" t="s">
        <v>36</v>
      </c>
      <c r="F9" s="19">
        <v>3</v>
      </c>
      <c r="G9" s="18" t="s">
        <v>40</v>
      </c>
      <c r="H9" s="19">
        <v>4</v>
      </c>
      <c r="I9" s="17" t="s">
        <v>46</v>
      </c>
      <c r="J9" s="19">
        <v>4</v>
      </c>
      <c r="K9" s="15" t="s">
        <v>50</v>
      </c>
      <c r="L9" s="19">
        <v>4</v>
      </c>
      <c r="M9" s="15" t="s">
        <v>56</v>
      </c>
      <c r="N9" s="19">
        <v>4</v>
      </c>
      <c r="O9" s="15" t="s">
        <v>64</v>
      </c>
      <c r="P9" s="19">
        <v>3</v>
      </c>
      <c r="Q9" s="17" t="s">
        <v>69</v>
      </c>
      <c r="R9" s="19">
        <v>0</v>
      </c>
      <c r="S9" s="17" t="s">
        <v>72</v>
      </c>
      <c r="T9" s="19">
        <v>0</v>
      </c>
      <c r="U9" s="17" t="s">
        <v>75</v>
      </c>
      <c r="V9" s="19">
        <v>4</v>
      </c>
      <c r="W9" s="15" t="s">
        <v>82</v>
      </c>
      <c r="X9" s="16">
        <v>3</v>
      </c>
      <c r="Y9" s="15" t="s">
        <v>86</v>
      </c>
      <c r="Z9" s="16">
        <v>4</v>
      </c>
      <c r="AA9" s="17" t="s">
        <v>93</v>
      </c>
      <c r="AB9" s="16">
        <v>0</v>
      </c>
      <c r="AC9" s="17" t="s">
        <v>96</v>
      </c>
      <c r="AD9" s="16">
        <v>0</v>
      </c>
      <c r="AE9" s="17" t="s">
        <v>99</v>
      </c>
      <c r="AF9" s="16">
        <v>0</v>
      </c>
      <c r="AG9" s="14" t="s">
        <v>29</v>
      </c>
      <c r="AH9" s="16">
        <v>0</v>
      </c>
      <c r="AI9" s="6" t="s">
        <v>30</v>
      </c>
      <c r="AJ9" s="16">
        <v>0</v>
      </c>
      <c r="AK9" s="65"/>
      <c r="AL9" s="91" t="s">
        <v>105</v>
      </c>
      <c r="AM9" s="91"/>
      <c r="AN9" s="91"/>
      <c r="AO9" s="91"/>
      <c r="AP9" s="91"/>
      <c r="AQ9" s="91"/>
      <c r="AR9" s="91">
        <v>3</v>
      </c>
      <c r="AS9" s="91"/>
      <c r="AT9" s="91"/>
      <c r="AU9" s="91"/>
      <c r="AV9" s="83"/>
      <c r="AW9" s="15" t="s">
        <v>110</v>
      </c>
      <c r="AX9" s="84">
        <v>4</v>
      </c>
      <c r="AY9" s="15" t="s">
        <v>117</v>
      </c>
      <c r="AZ9" s="85">
        <v>1</v>
      </c>
      <c r="BA9" s="15" t="s">
        <v>124</v>
      </c>
      <c r="BB9" s="85">
        <v>3</v>
      </c>
    </row>
    <row r="10" spans="1:54" s="3" customFormat="1" ht="70.7" customHeight="1">
      <c r="A10" s="97"/>
      <c r="B10" s="98"/>
      <c r="C10" s="98"/>
      <c r="D10" s="98"/>
      <c r="E10" s="18" t="s">
        <v>37</v>
      </c>
      <c r="F10" s="19">
        <v>1</v>
      </c>
      <c r="G10" s="18" t="s">
        <v>41</v>
      </c>
      <c r="H10" s="19">
        <v>3</v>
      </c>
      <c r="I10" s="17" t="s">
        <v>47</v>
      </c>
      <c r="J10" s="19">
        <v>3</v>
      </c>
      <c r="K10" s="15" t="s">
        <v>51</v>
      </c>
      <c r="L10" s="19">
        <v>3</v>
      </c>
      <c r="M10" s="15" t="s">
        <v>57</v>
      </c>
      <c r="N10" s="19">
        <v>3</v>
      </c>
      <c r="O10" s="15" t="s">
        <v>65</v>
      </c>
      <c r="P10" s="19">
        <v>2</v>
      </c>
      <c r="Q10" s="68"/>
      <c r="R10" s="68"/>
      <c r="S10" s="20"/>
      <c r="T10" s="19"/>
      <c r="U10" s="17" t="s">
        <v>76</v>
      </c>
      <c r="V10" s="19">
        <v>3</v>
      </c>
      <c r="W10" s="15" t="s">
        <v>83</v>
      </c>
      <c r="X10" s="16">
        <v>0</v>
      </c>
      <c r="Y10" s="15" t="s">
        <v>87</v>
      </c>
      <c r="Z10" s="16">
        <v>3</v>
      </c>
      <c r="AA10" s="65"/>
      <c r="AB10" s="65"/>
      <c r="AC10" s="6"/>
      <c r="AD10" s="16"/>
      <c r="AE10" s="16"/>
      <c r="AF10" s="16"/>
      <c r="AG10" s="65"/>
      <c r="AH10" s="65"/>
      <c r="AI10" s="65"/>
      <c r="AJ10" s="65"/>
      <c r="AK10" s="65"/>
      <c r="AL10" s="94" t="s">
        <v>106</v>
      </c>
      <c r="AM10" s="94"/>
      <c r="AN10" s="94"/>
      <c r="AO10" s="94"/>
      <c r="AP10" s="94"/>
      <c r="AQ10" s="94"/>
      <c r="AR10" s="94">
        <v>0</v>
      </c>
      <c r="AS10" s="94"/>
      <c r="AT10" s="94"/>
      <c r="AU10" s="94"/>
      <c r="AV10" s="83"/>
      <c r="AW10" s="15" t="s">
        <v>111</v>
      </c>
      <c r="AX10" s="84">
        <v>3</v>
      </c>
      <c r="AY10" s="15" t="s">
        <v>118</v>
      </c>
      <c r="AZ10" s="85">
        <v>2</v>
      </c>
      <c r="BA10" s="15" t="s">
        <v>125</v>
      </c>
      <c r="BB10" s="85">
        <v>1</v>
      </c>
    </row>
    <row r="11" spans="1:54" s="3" customFormat="1" ht="37.35" customHeight="1">
      <c r="A11" s="97"/>
      <c r="B11" s="98"/>
      <c r="C11" s="98"/>
      <c r="D11" s="98"/>
      <c r="E11" s="18" t="s">
        <v>38</v>
      </c>
      <c r="F11" s="19">
        <v>0</v>
      </c>
      <c r="G11" s="18" t="s">
        <v>42</v>
      </c>
      <c r="H11" s="19">
        <v>2</v>
      </c>
      <c r="I11" s="15" t="s">
        <v>32</v>
      </c>
      <c r="J11" s="19">
        <v>2</v>
      </c>
      <c r="K11" s="15" t="s">
        <v>52</v>
      </c>
      <c r="L11" s="19">
        <v>2</v>
      </c>
      <c r="M11" s="15" t="s">
        <v>58</v>
      </c>
      <c r="N11" s="19">
        <v>2</v>
      </c>
      <c r="O11" s="15" t="s">
        <v>66</v>
      </c>
      <c r="P11" s="68">
        <v>0</v>
      </c>
      <c r="Q11" s="68"/>
      <c r="R11" s="68"/>
      <c r="S11" s="68"/>
      <c r="T11" s="68"/>
      <c r="U11" s="17" t="s">
        <v>77</v>
      </c>
      <c r="V11" s="68">
        <v>2</v>
      </c>
      <c r="W11" s="5"/>
      <c r="X11" s="16"/>
      <c r="Y11" s="15" t="s">
        <v>88</v>
      </c>
      <c r="Z11" s="16">
        <v>2</v>
      </c>
      <c r="AA11" s="65"/>
      <c r="AB11" s="65"/>
      <c r="AC11" s="6"/>
      <c r="AD11" s="16"/>
      <c r="AE11" s="16"/>
      <c r="AF11" s="16"/>
      <c r="AG11" s="65"/>
      <c r="AH11" s="65"/>
      <c r="AI11" s="65"/>
      <c r="AJ11" s="65"/>
      <c r="AK11" s="65"/>
      <c r="AL11" s="65"/>
      <c r="AM11" s="65"/>
      <c r="AN11" s="65"/>
      <c r="AO11" s="65"/>
      <c r="AP11" s="6"/>
      <c r="AQ11" s="16"/>
      <c r="AR11" s="6"/>
      <c r="AS11" s="16"/>
      <c r="AT11" s="91"/>
      <c r="AU11" s="91"/>
      <c r="AV11" s="83"/>
      <c r="AW11" s="15" t="s">
        <v>112</v>
      </c>
      <c r="AX11" s="84">
        <v>2</v>
      </c>
      <c r="AY11" s="15" t="s">
        <v>119</v>
      </c>
      <c r="AZ11" s="85">
        <v>3</v>
      </c>
      <c r="BA11" s="15" t="s">
        <v>126</v>
      </c>
      <c r="BB11" s="85">
        <v>0</v>
      </c>
    </row>
    <row r="12" spans="1:54" s="3" customFormat="1" ht="36" customHeight="1">
      <c r="A12" s="97"/>
      <c r="B12" s="98"/>
      <c r="C12" s="98"/>
      <c r="D12" s="98"/>
      <c r="E12" s="20"/>
      <c r="F12" s="20"/>
      <c r="G12" s="21"/>
      <c r="H12" s="19"/>
      <c r="I12" s="19"/>
      <c r="J12" s="19"/>
      <c r="K12" s="15" t="s">
        <v>53</v>
      </c>
      <c r="L12" s="19">
        <v>1</v>
      </c>
      <c r="M12" s="15" t="s">
        <v>59</v>
      </c>
      <c r="N12" s="19">
        <v>1</v>
      </c>
      <c r="O12" s="68"/>
      <c r="P12" s="68"/>
      <c r="Q12" s="68"/>
      <c r="R12" s="68"/>
      <c r="S12" s="68"/>
      <c r="T12" s="68"/>
      <c r="U12" s="17" t="s">
        <v>78</v>
      </c>
      <c r="V12" s="68">
        <v>1</v>
      </c>
      <c r="W12" s="5"/>
      <c r="X12" s="16"/>
      <c r="Y12" s="15" t="s">
        <v>89</v>
      </c>
      <c r="Z12" s="16">
        <v>1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"/>
      <c r="AQ12" s="16"/>
      <c r="AR12" s="6"/>
      <c r="AS12" s="16"/>
      <c r="AT12" s="91"/>
      <c r="AU12" s="91"/>
      <c r="AV12" s="83"/>
      <c r="AW12" s="15" t="s">
        <v>113</v>
      </c>
      <c r="AX12" s="84">
        <v>1</v>
      </c>
      <c r="AY12" s="15" t="s">
        <v>120</v>
      </c>
      <c r="AZ12" s="85">
        <v>4</v>
      </c>
      <c r="BA12" s="83"/>
      <c r="BB12" s="85"/>
    </row>
    <row r="13" spans="1:54" s="3" customFormat="1" ht="36" customHeight="1">
      <c r="A13" s="97"/>
      <c r="B13" s="98"/>
      <c r="C13" s="98"/>
      <c r="D13" s="98"/>
      <c r="E13" s="20"/>
      <c r="F13" s="20"/>
      <c r="G13" s="21"/>
      <c r="H13" s="19"/>
      <c r="I13" s="19"/>
      <c r="J13" s="19"/>
      <c r="K13" s="15" t="s">
        <v>54</v>
      </c>
      <c r="L13" s="19">
        <v>0</v>
      </c>
      <c r="M13" s="15" t="s">
        <v>60</v>
      </c>
      <c r="N13" s="19">
        <v>0</v>
      </c>
      <c r="O13" s="68"/>
      <c r="P13" s="68"/>
      <c r="Q13" s="68"/>
      <c r="R13" s="68"/>
      <c r="S13" s="68"/>
      <c r="T13" s="68"/>
      <c r="U13" s="17" t="s">
        <v>79</v>
      </c>
      <c r="V13" s="68">
        <v>0</v>
      </c>
      <c r="W13" s="5"/>
      <c r="X13" s="16"/>
      <c r="Y13" s="15" t="s">
        <v>90</v>
      </c>
      <c r="Z13" s="16">
        <v>0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"/>
      <c r="AQ13" s="16"/>
      <c r="AR13" s="6"/>
      <c r="AS13" s="16"/>
      <c r="AT13" s="91"/>
      <c r="AU13" s="91"/>
      <c r="AV13" s="83"/>
      <c r="AW13" s="15" t="s">
        <v>114</v>
      </c>
      <c r="AX13" s="84">
        <v>0</v>
      </c>
      <c r="AY13" s="15" t="s">
        <v>121</v>
      </c>
      <c r="AZ13" s="85">
        <v>5</v>
      </c>
      <c r="BA13" s="83"/>
      <c r="BB13" s="85"/>
    </row>
    <row r="14" spans="1:54" s="1" customFormat="1" ht="33.4" customHeight="1">
      <c r="A14" s="27">
        <v>1</v>
      </c>
      <c r="B14" s="28" t="s">
        <v>13</v>
      </c>
      <c r="C14" s="86">
        <f>D14/12</f>
        <v>4.666666666666667</v>
      </c>
      <c r="D14" s="87">
        <f>L14+P14+R14+T14+V14+X14+Z14+AF14+AH14+AX14+AZ14+BB14</f>
        <v>56</v>
      </c>
      <c r="E14" s="52" t="s">
        <v>132</v>
      </c>
      <c r="F14" s="45"/>
      <c r="G14" s="52" t="s">
        <v>132</v>
      </c>
      <c r="H14" s="22"/>
      <c r="I14" s="52" t="s">
        <v>132</v>
      </c>
      <c r="J14" s="22"/>
      <c r="K14" s="74">
        <f>28944.3/29030.2*100</f>
        <v>99.704101246288346</v>
      </c>
      <c r="L14" s="54" t="s">
        <v>136</v>
      </c>
      <c r="M14" s="72"/>
      <c r="N14" s="63"/>
      <c r="O14" s="74">
        <f>9428.8/28944.3*100</f>
        <v>32.575671202965694</v>
      </c>
      <c r="P14" s="61">
        <v>5</v>
      </c>
      <c r="Q14" s="58" t="s">
        <v>128</v>
      </c>
      <c r="R14" s="57">
        <v>5</v>
      </c>
      <c r="S14" s="58" t="s">
        <v>128</v>
      </c>
      <c r="T14" s="57">
        <v>5</v>
      </c>
      <c r="U14" s="76">
        <f>4.4/28944.3*100</f>
        <v>1.5201611370805309E-2</v>
      </c>
      <c r="V14" s="61">
        <v>5</v>
      </c>
      <c r="W14" s="59" t="s">
        <v>128</v>
      </c>
      <c r="X14" s="57">
        <v>5</v>
      </c>
      <c r="Y14" s="81" t="s">
        <v>85</v>
      </c>
      <c r="Z14" s="27">
        <v>5</v>
      </c>
      <c r="AA14" s="33" t="s">
        <v>132</v>
      </c>
      <c r="AB14" s="34"/>
      <c r="AC14" s="33" t="s">
        <v>132</v>
      </c>
      <c r="AD14" s="34"/>
      <c r="AE14" s="59" t="s">
        <v>141</v>
      </c>
      <c r="AF14" s="22" t="s">
        <v>136</v>
      </c>
      <c r="AG14" s="59" t="s">
        <v>138</v>
      </c>
      <c r="AH14" s="61">
        <v>5</v>
      </c>
      <c r="AI14" s="52" t="s">
        <v>132</v>
      </c>
      <c r="AJ14" s="22"/>
      <c r="AK14" s="33" t="s">
        <v>132</v>
      </c>
      <c r="AL14" s="33"/>
      <c r="AM14" s="33"/>
      <c r="AN14" s="33"/>
      <c r="AO14" s="33"/>
      <c r="AP14" s="33"/>
      <c r="AQ14" s="33"/>
      <c r="AR14" s="33"/>
      <c r="AS14" s="33"/>
      <c r="AT14" s="93"/>
      <c r="AU14" s="93"/>
      <c r="AV14" s="29"/>
      <c r="AW14" s="70">
        <f>1/914*100</f>
        <v>0.10940919037199125</v>
      </c>
      <c r="AX14" s="35">
        <v>4</v>
      </c>
      <c r="AY14" s="75">
        <f>339.9/4254.4*100</f>
        <v>7.9893757051523124</v>
      </c>
      <c r="AZ14" s="55">
        <v>2</v>
      </c>
      <c r="BA14" s="36">
        <f>3/3*100</f>
        <v>100</v>
      </c>
      <c r="BB14" s="36">
        <v>5</v>
      </c>
    </row>
    <row r="15" spans="1:54" s="1" customFormat="1" ht="38.65" customHeight="1">
      <c r="A15" s="24">
        <v>2</v>
      </c>
      <c r="B15" s="26" t="s">
        <v>10</v>
      </c>
      <c r="C15" s="88">
        <f>D15/16</f>
        <v>3.875</v>
      </c>
      <c r="D15" s="89">
        <f>H15+J15+L15+P15+R15+T15+V15+X15+Z15+AF15+AH15+AJ15+AK15+AX15+AZ15+BB15</f>
        <v>62</v>
      </c>
      <c r="E15" s="52" t="s">
        <v>132</v>
      </c>
      <c r="F15" s="44"/>
      <c r="G15" s="71">
        <f>908435.2/908435.2*100</f>
        <v>100</v>
      </c>
      <c r="H15" s="53">
        <v>5</v>
      </c>
      <c r="I15" s="71">
        <f>630438.6/630438.6*100</f>
        <v>100</v>
      </c>
      <c r="J15" s="53">
        <v>5</v>
      </c>
      <c r="K15" s="74">
        <f>909208.9/1010001.2*100</f>
        <v>90.020576213176781</v>
      </c>
      <c r="L15" s="54" t="s">
        <v>137</v>
      </c>
      <c r="M15" s="73"/>
      <c r="N15" s="62"/>
      <c r="O15" s="74">
        <f>463235.5/909208.9*100</f>
        <v>50.949292291353501</v>
      </c>
      <c r="P15" s="60">
        <v>0</v>
      </c>
      <c r="Q15" s="58" t="s">
        <v>128</v>
      </c>
      <c r="R15" s="57">
        <v>5</v>
      </c>
      <c r="S15" s="58" t="s">
        <v>128</v>
      </c>
      <c r="T15" s="57">
        <v>5</v>
      </c>
      <c r="U15" s="76">
        <f>27020.6/909208.9*100</f>
        <v>2.9718802796585031</v>
      </c>
      <c r="V15" s="60">
        <v>3</v>
      </c>
      <c r="W15" s="59" t="s">
        <v>128</v>
      </c>
      <c r="X15" s="57">
        <v>5</v>
      </c>
      <c r="Y15" s="15" t="s">
        <v>88</v>
      </c>
      <c r="Z15" s="24">
        <v>2</v>
      </c>
      <c r="AA15" s="33" t="s">
        <v>132</v>
      </c>
      <c r="AB15" s="43"/>
      <c r="AC15" s="33" t="s">
        <v>132</v>
      </c>
      <c r="AD15" s="43"/>
      <c r="AE15" s="59" t="s">
        <v>141</v>
      </c>
      <c r="AF15" s="68">
        <v>5</v>
      </c>
      <c r="AG15" s="59" t="s">
        <v>138</v>
      </c>
      <c r="AH15" s="61">
        <v>5</v>
      </c>
      <c r="AI15" s="51" t="s">
        <v>102</v>
      </c>
      <c r="AJ15" s="51">
        <v>5</v>
      </c>
      <c r="AK15" s="42">
        <v>3</v>
      </c>
      <c r="AL15" s="46" t="s">
        <v>131</v>
      </c>
      <c r="AM15" s="46" t="s">
        <v>131</v>
      </c>
      <c r="AN15" s="42" t="s">
        <v>129</v>
      </c>
      <c r="AO15" s="42"/>
      <c r="AP15" s="47" t="s">
        <v>129</v>
      </c>
      <c r="AQ15" s="46" t="s">
        <v>130</v>
      </c>
      <c r="AR15" s="46" t="s">
        <v>131</v>
      </c>
      <c r="AS15" s="46" t="s">
        <v>131</v>
      </c>
      <c r="AT15" s="92" t="s">
        <v>131</v>
      </c>
      <c r="AU15" s="92"/>
      <c r="AV15" s="32"/>
      <c r="AW15" s="71">
        <f>189/2923*100</f>
        <v>6.4659596305165916</v>
      </c>
      <c r="AX15" s="40">
        <v>4</v>
      </c>
      <c r="AY15" s="75">
        <f>23079.7/685656.47*100</f>
        <v>3.3660733924088837</v>
      </c>
      <c r="AZ15" s="56">
        <v>1</v>
      </c>
      <c r="BA15" s="36">
        <f>21/21*100</f>
        <v>100</v>
      </c>
      <c r="BB15" s="36">
        <v>5</v>
      </c>
    </row>
    <row r="16" spans="1:54" s="1" customFormat="1" ht="33.4" customHeight="1">
      <c r="A16" s="24">
        <v>3</v>
      </c>
      <c r="B16" s="25" t="s">
        <v>1</v>
      </c>
      <c r="C16" s="88">
        <f>D16/12</f>
        <v>4.583333333333333</v>
      </c>
      <c r="D16" s="89">
        <f>L16+P16+R16+T16+V16+X16+Z16+AF16+AH16+AX16+AZ16+BB16</f>
        <v>55</v>
      </c>
      <c r="E16" s="52" t="s">
        <v>132</v>
      </c>
      <c r="F16" s="44"/>
      <c r="G16" s="52" t="s">
        <v>132</v>
      </c>
      <c r="H16" s="53"/>
      <c r="I16" s="52" t="s">
        <v>132</v>
      </c>
      <c r="J16" s="53"/>
      <c r="K16" s="74">
        <f>6961.7/6979.5*100</f>
        <v>99.744967404541867</v>
      </c>
      <c r="L16" s="54" t="s">
        <v>136</v>
      </c>
      <c r="M16" s="73"/>
      <c r="N16" s="62"/>
      <c r="O16" s="74">
        <f>2279/6961.7*100</f>
        <v>32.736256948733789</v>
      </c>
      <c r="P16" s="60">
        <v>5</v>
      </c>
      <c r="Q16" s="58" t="s">
        <v>128</v>
      </c>
      <c r="R16" s="57">
        <v>5</v>
      </c>
      <c r="S16" s="58" t="s">
        <v>128</v>
      </c>
      <c r="T16" s="57">
        <v>5</v>
      </c>
      <c r="U16" s="77">
        <f>0.17/6961.7*100</f>
        <v>2.4419322866541218E-3</v>
      </c>
      <c r="V16" s="60">
        <v>5</v>
      </c>
      <c r="W16" s="59" t="s">
        <v>128</v>
      </c>
      <c r="X16" s="57">
        <v>5</v>
      </c>
      <c r="Y16" s="15" t="s">
        <v>85</v>
      </c>
      <c r="Z16" s="24">
        <v>5</v>
      </c>
      <c r="AA16" s="33" t="s">
        <v>132</v>
      </c>
      <c r="AB16" s="37"/>
      <c r="AC16" s="33" t="s">
        <v>132</v>
      </c>
      <c r="AD16" s="37"/>
      <c r="AE16" s="59" t="s">
        <v>141</v>
      </c>
      <c r="AF16" s="68">
        <v>5</v>
      </c>
      <c r="AG16" s="59" t="s">
        <v>138</v>
      </c>
      <c r="AH16" s="61">
        <v>5</v>
      </c>
      <c r="AI16" s="52" t="s">
        <v>132</v>
      </c>
      <c r="AJ16" s="51"/>
      <c r="AK16" s="33" t="s">
        <v>132</v>
      </c>
      <c r="AL16" s="33"/>
      <c r="AM16" s="37"/>
      <c r="AN16" s="37"/>
      <c r="AO16" s="38"/>
      <c r="AP16" s="37"/>
      <c r="AQ16" s="37"/>
      <c r="AR16" s="37"/>
      <c r="AS16" s="37"/>
      <c r="AT16" s="92"/>
      <c r="AU16" s="92"/>
      <c r="AV16" s="32"/>
      <c r="AW16" s="71">
        <f>0/671*100</f>
        <v>0</v>
      </c>
      <c r="AX16" s="40">
        <v>5</v>
      </c>
      <c r="AY16" s="75">
        <f>0/824.1*100</f>
        <v>0</v>
      </c>
      <c r="AZ16" s="56">
        <v>0</v>
      </c>
      <c r="BA16" s="36">
        <f>1/1*100</f>
        <v>100</v>
      </c>
      <c r="BB16" s="36">
        <v>5</v>
      </c>
    </row>
    <row r="17" spans="1:54" s="1" customFormat="1" ht="31.5">
      <c r="A17" s="24">
        <v>4</v>
      </c>
      <c r="B17" s="25" t="s">
        <v>2</v>
      </c>
      <c r="C17" s="88">
        <f>D17/14</f>
        <v>4.5714285714285712</v>
      </c>
      <c r="D17" s="89">
        <f>H17+L17+P17+R17+T17+V17+X17+Z17+AF17+AH17+AJ17+AX17+AZ17+BB17</f>
        <v>64</v>
      </c>
      <c r="E17" s="52" t="s">
        <v>132</v>
      </c>
      <c r="F17" s="44"/>
      <c r="G17" s="71">
        <f>47438.8/47438.8*100</f>
        <v>100</v>
      </c>
      <c r="H17" s="53">
        <v>5</v>
      </c>
      <c r="I17" s="52" t="s">
        <v>132</v>
      </c>
      <c r="J17" s="53"/>
      <c r="K17" s="74">
        <f>35595.8/35616*100</f>
        <v>99.943283917340537</v>
      </c>
      <c r="L17" s="54" t="s">
        <v>136</v>
      </c>
      <c r="M17" s="73"/>
      <c r="N17" s="62"/>
      <c r="O17" s="74">
        <f>18555.3/47418.5*100</f>
        <v>39.13092991132153</v>
      </c>
      <c r="P17" s="60">
        <v>3</v>
      </c>
      <c r="Q17" s="58" t="s">
        <v>128</v>
      </c>
      <c r="R17" s="57">
        <v>5</v>
      </c>
      <c r="S17" s="58" t="s">
        <v>128</v>
      </c>
      <c r="T17" s="57">
        <v>5</v>
      </c>
      <c r="U17" s="76">
        <f>12.3/47418.5*100</f>
        <v>2.5939243122410031E-2</v>
      </c>
      <c r="V17" s="60">
        <v>5</v>
      </c>
      <c r="W17" s="59" t="s">
        <v>128</v>
      </c>
      <c r="X17" s="57">
        <v>5</v>
      </c>
      <c r="Y17" s="15" t="s">
        <v>85</v>
      </c>
      <c r="Z17" s="24">
        <v>5</v>
      </c>
      <c r="AA17" s="33" t="s">
        <v>132</v>
      </c>
      <c r="AB17" s="39"/>
      <c r="AC17" s="33" t="s">
        <v>132</v>
      </c>
      <c r="AD17" s="39"/>
      <c r="AE17" s="59" t="s">
        <v>141</v>
      </c>
      <c r="AF17" s="68">
        <v>5</v>
      </c>
      <c r="AG17" s="59" t="s">
        <v>138</v>
      </c>
      <c r="AH17" s="61">
        <v>5</v>
      </c>
      <c r="AI17" s="51" t="s">
        <v>102</v>
      </c>
      <c r="AJ17" s="51">
        <v>5</v>
      </c>
      <c r="AK17" s="33" t="s">
        <v>132</v>
      </c>
      <c r="AL17" s="33"/>
      <c r="AM17" s="39"/>
      <c r="AN17" s="39"/>
      <c r="AO17" s="39"/>
      <c r="AP17" s="39"/>
      <c r="AQ17" s="39"/>
      <c r="AR17" s="39"/>
      <c r="AS17" s="39"/>
      <c r="AT17" s="92"/>
      <c r="AU17" s="92"/>
      <c r="AV17" s="41"/>
      <c r="AW17" s="71">
        <f>0/446*100</f>
        <v>0</v>
      </c>
      <c r="AX17" s="40">
        <v>5</v>
      </c>
      <c r="AY17" s="75">
        <f>11.1/790*100</f>
        <v>1.4050632911392404</v>
      </c>
      <c r="AZ17" s="56">
        <v>1</v>
      </c>
      <c r="BA17" s="36">
        <f>4/4*100</f>
        <v>100</v>
      </c>
      <c r="BB17" s="36">
        <v>5</v>
      </c>
    </row>
    <row r="18" spans="1:54" s="1" customFormat="1" ht="36.6" customHeight="1">
      <c r="A18" s="24">
        <v>5</v>
      </c>
      <c r="B18" s="26" t="s">
        <v>9</v>
      </c>
      <c r="C18" s="88">
        <f t="shared" ref="C18:C23" si="0">D18/16</f>
        <v>4.125</v>
      </c>
      <c r="D18" s="89">
        <f>H18+J18+L18+P18+R18+T18+V18+X18+Z18+AF18+AH18+AJ18+AK18+AX18+AZ18+BB18</f>
        <v>66</v>
      </c>
      <c r="E18" s="52" t="s">
        <v>132</v>
      </c>
      <c r="F18" s="44"/>
      <c r="G18" s="71">
        <f>129689.2/129689.2*100</f>
        <v>100</v>
      </c>
      <c r="H18" s="53">
        <v>5</v>
      </c>
      <c r="I18" s="71">
        <f>13490.2/13490.2*100</f>
        <v>100</v>
      </c>
      <c r="J18" s="53">
        <v>5</v>
      </c>
      <c r="K18" s="74">
        <f>129447.5/129869.2*100</f>
        <v>99.675288675066923</v>
      </c>
      <c r="L18" s="54" t="s">
        <v>136</v>
      </c>
      <c r="M18" s="73"/>
      <c r="N18" s="62"/>
      <c r="O18" s="74">
        <f>67785.2/129447.5*100</f>
        <v>52.365012843044475</v>
      </c>
      <c r="P18" s="60">
        <v>0</v>
      </c>
      <c r="Q18" s="58" t="s">
        <v>128</v>
      </c>
      <c r="R18" s="57">
        <v>5</v>
      </c>
      <c r="S18" s="58" t="s">
        <v>128</v>
      </c>
      <c r="T18" s="57">
        <v>5</v>
      </c>
      <c r="U18" s="76">
        <f>10.23/129447.5*100</f>
        <v>7.9028177446455131E-3</v>
      </c>
      <c r="V18" s="60">
        <v>5</v>
      </c>
      <c r="W18" s="59" t="s">
        <v>128</v>
      </c>
      <c r="X18" s="57">
        <v>5</v>
      </c>
      <c r="Y18" s="15" t="s">
        <v>88</v>
      </c>
      <c r="Z18" s="24">
        <v>2</v>
      </c>
      <c r="AA18" s="33" t="s">
        <v>132</v>
      </c>
      <c r="AB18" s="44"/>
      <c r="AC18" s="33" t="s">
        <v>132</v>
      </c>
      <c r="AD18" s="44"/>
      <c r="AE18" s="59" t="s">
        <v>141</v>
      </c>
      <c r="AF18" s="68">
        <v>5</v>
      </c>
      <c r="AG18" s="59" t="s">
        <v>138</v>
      </c>
      <c r="AH18" s="61">
        <v>5</v>
      </c>
      <c r="AI18" s="51" t="s">
        <v>102</v>
      </c>
      <c r="AJ18" s="51">
        <v>5</v>
      </c>
      <c r="AK18" s="50">
        <v>3</v>
      </c>
      <c r="AL18" s="46" t="s">
        <v>131</v>
      </c>
      <c r="AM18" s="46" t="s">
        <v>130</v>
      </c>
      <c r="AN18" s="46" t="s">
        <v>130</v>
      </c>
      <c r="AO18" s="30"/>
      <c r="AP18" s="46" t="s">
        <v>131</v>
      </c>
      <c r="AQ18" s="46" t="s">
        <v>129</v>
      </c>
      <c r="AR18" s="46" t="s">
        <v>129</v>
      </c>
      <c r="AS18" s="46" t="s">
        <v>130</v>
      </c>
      <c r="AT18" s="92" t="s">
        <v>129</v>
      </c>
      <c r="AU18" s="92"/>
      <c r="AV18" s="32"/>
      <c r="AW18" s="71">
        <f>7/687*100</f>
        <v>1.0189228529839884</v>
      </c>
      <c r="AX18" s="40">
        <v>4</v>
      </c>
      <c r="AY18" s="75">
        <f>6138.53/102795.04*100</f>
        <v>5.9716208097200019</v>
      </c>
      <c r="AZ18" s="56">
        <v>2</v>
      </c>
      <c r="BA18" s="36">
        <f>8/8*100</f>
        <v>100</v>
      </c>
      <c r="BB18" s="36">
        <v>5</v>
      </c>
    </row>
    <row r="19" spans="1:54" s="1" customFormat="1" ht="38.1" customHeight="1">
      <c r="A19" s="24">
        <v>6</v>
      </c>
      <c r="B19" s="25" t="s">
        <v>4</v>
      </c>
      <c r="C19" s="88">
        <f t="shared" si="0"/>
        <v>4.3125</v>
      </c>
      <c r="D19" s="89">
        <f>H19+J19+L19+P19+R19+T19+V19+X19+Z19+AF19+AH19+AJ19+AK19+AX19+AZ19+BB19</f>
        <v>69</v>
      </c>
      <c r="E19" s="52" t="s">
        <v>132</v>
      </c>
      <c r="F19" s="44"/>
      <c r="G19" s="71">
        <f>226383.9/226383.9*100</f>
        <v>100</v>
      </c>
      <c r="H19" s="53">
        <v>5</v>
      </c>
      <c r="I19" s="71">
        <f>205459.2/205459.2*100</f>
        <v>100</v>
      </c>
      <c r="J19" s="53">
        <v>5</v>
      </c>
      <c r="K19" s="74">
        <f>226161.3/226383.9*100</f>
        <v>99.901671452784399</v>
      </c>
      <c r="L19" s="54" t="s">
        <v>136</v>
      </c>
      <c r="M19" s="73"/>
      <c r="N19" s="62"/>
      <c r="O19" s="74">
        <f>79195.5/226161.3*100</f>
        <v>35.017264226903542</v>
      </c>
      <c r="P19" s="60">
        <v>5</v>
      </c>
      <c r="Q19" s="58" t="s">
        <v>128</v>
      </c>
      <c r="R19" s="57">
        <v>5</v>
      </c>
      <c r="S19" s="58" t="s">
        <v>128</v>
      </c>
      <c r="T19" s="57">
        <v>5</v>
      </c>
      <c r="U19" s="77">
        <f>4.6/226163.3*100</f>
        <v>2.0339285816929624E-3</v>
      </c>
      <c r="V19" s="60">
        <v>5</v>
      </c>
      <c r="W19" s="59" t="s">
        <v>128</v>
      </c>
      <c r="X19" s="57">
        <v>5</v>
      </c>
      <c r="Y19" s="15" t="s">
        <v>85</v>
      </c>
      <c r="Z19" s="24">
        <v>5</v>
      </c>
      <c r="AA19" s="33" t="s">
        <v>132</v>
      </c>
      <c r="AB19" s="44"/>
      <c r="AC19" s="33" t="s">
        <v>132</v>
      </c>
      <c r="AD19" s="44"/>
      <c r="AE19" s="59" t="s">
        <v>141</v>
      </c>
      <c r="AF19" s="68">
        <v>5</v>
      </c>
      <c r="AG19" s="59" t="s">
        <v>138</v>
      </c>
      <c r="AH19" s="61">
        <v>5</v>
      </c>
      <c r="AI19" s="51" t="s">
        <v>102</v>
      </c>
      <c r="AJ19" s="51">
        <v>5</v>
      </c>
      <c r="AK19" s="50">
        <v>3</v>
      </c>
      <c r="AL19" s="46" t="s">
        <v>130</v>
      </c>
      <c r="AM19" s="46" t="s">
        <v>130</v>
      </c>
      <c r="AN19" s="46" t="s">
        <v>130</v>
      </c>
      <c r="AO19" s="30"/>
      <c r="AP19" s="46" t="s">
        <v>135</v>
      </c>
      <c r="AQ19" s="50" t="s">
        <v>129</v>
      </c>
      <c r="AR19" s="46" t="s">
        <v>129</v>
      </c>
      <c r="AS19" s="50" t="s">
        <v>133</v>
      </c>
      <c r="AT19" s="92" t="s">
        <v>129</v>
      </c>
      <c r="AU19" s="92"/>
      <c r="AV19" s="32"/>
      <c r="AW19" s="71">
        <f>19/1069*100</f>
        <v>1.7773620205799812</v>
      </c>
      <c r="AX19" s="40">
        <v>4</v>
      </c>
      <c r="AY19" s="75">
        <f>11.7/10618.8*100</f>
        <v>0.11018194146231212</v>
      </c>
      <c r="AZ19" s="56">
        <v>1</v>
      </c>
      <c r="BA19" s="36">
        <f>9/10*100</f>
        <v>90</v>
      </c>
      <c r="BB19" s="36">
        <v>1</v>
      </c>
    </row>
    <row r="20" spans="1:54" s="1" customFormat="1" ht="43.15" customHeight="1">
      <c r="A20" s="24">
        <v>7</v>
      </c>
      <c r="B20" s="25" t="s">
        <v>3</v>
      </c>
      <c r="C20" s="88">
        <f t="shared" si="0"/>
        <v>4.375</v>
      </c>
      <c r="D20" s="89">
        <f>H20+J20+L20+P20+R20++T20+V20+X20+Z20+AF20+AH20+AJ20+AK20+AX20+AZ20+BB20</f>
        <v>70</v>
      </c>
      <c r="E20" s="52" t="s">
        <v>132</v>
      </c>
      <c r="F20" s="44"/>
      <c r="G20" s="71">
        <f>1589830.1/1589830.1*100</f>
        <v>100</v>
      </c>
      <c r="H20" s="53">
        <v>5</v>
      </c>
      <c r="I20" s="71">
        <f>1396485.2/1396485.2*100</f>
        <v>100</v>
      </c>
      <c r="J20" s="53">
        <v>5</v>
      </c>
      <c r="K20" s="74">
        <f>1587712.2/1589830.1*100</f>
        <v>99.8667845073508</v>
      </c>
      <c r="L20" s="54" t="s">
        <v>136</v>
      </c>
      <c r="M20" s="73"/>
      <c r="N20" s="62"/>
      <c r="O20" s="74">
        <f>542555.1/1587712.2*100</f>
        <v>34.172131448004237</v>
      </c>
      <c r="P20" s="60">
        <v>5</v>
      </c>
      <c r="Q20" s="58" t="s">
        <v>128</v>
      </c>
      <c r="R20" s="57">
        <v>5</v>
      </c>
      <c r="S20" s="58" t="s">
        <v>128</v>
      </c>
      <c r="T20" s="57">
        <v>5</v>
      </c>
      <c r="U20" s="76">
        <f>333.6/1587712.2*100</f>
        <v>2.1011364654123083E-2</v>
      </c>
      <c r="V20" s="60">
        <v>5</v>
      </c>
      <c r="W20" s="59" t="s">
        <v>128</v>
      </c>
      <c r="X20" s="57">
        <v>5</v>
      </c>
      <c r="Y20" s="15" t="s">
        <v>85</v>
      </c>
      <c r="Z20" s="24">
        <v>5</v>
      </c>
      <c r="AA20" s="33" t="s">
        <v>132</v>
      </c>
      <c r="AB20" s="44"/>
      <c r="AC20" s="33" t="s">
        <v>132</v>
      </c>
      <c r="AD20" s="44"/>
      <c r="AE20" s="59" t="s">
        <v>141</v>
      </c>
      <c r="AF20" s="68">
        <v>5</v>
      </c>
      <c r="AG20" s="59" t="s">
        <v>139</v>
      </c>
      <c r="AH20" s="61">
        <v>0</v>
      </c>
      <c r="AI20" s="51" t="s">
        <v>102</v>
      </c>
      <c r="AJ20" s="51">
        <v>5</v>
      </c>
      <c r="AK20" s="49">
        <v>3</v>
      </c>
      <c r="AL20" s="49" t="s">
        <v>130</v>
      </c>
      <c r="AM20" s="49" t="s">
        <v>133</v>
      </c>
      <c r="AN20" s="49" t="s">
        <v>133</v>
      </c>
      <c r="AO20" s="31"/>
      <c r="AP20" s="49" t="s">
        <v>133</v>
      </c>
      <c r="AQ20" s="49" t="s">
        <v>129</v>
      </c>
      <c r="AR20" s="46" t="s">
        <v>129</v>
      </c>
      <c r="AS20" s="49" t="s">
        <v>133</v>
      </c>
      <c r="AT20" s="92" t="s">
        <v>133</v>
      </c>
      <c r="AU20" s="92"/>
      <c r="AV20" s="32"/>
      <c r="AW20" s="71">
        <f>125/8857*100</f>
        <v>1.4113130856949307</v>
      </c>
      <c r="AX20" s="40">
        <v>4</v>
      </c>
      <c r="AY20" s="75">
        <f>17101.8/131222.1*100</f>
        <v>13.032713239614363</v>
      </c>
      <c r="AZ20" s="56">
        <v>3</v>
      </c>
      <c r="BA20" s="36">
        <f>19/19*100</f>
        <v>100</v>
      </c>
      <c r="BB20" s="36">
        <v>5</v>
      </c>
    </row>
    <row r="21" spans="1:54" s="1" customFormat="1" ht="43.15" customHeight="1">
      <c r="A21" s="24">
        <v>8</v>
      </c>
      <c r="B21" s="26" t="s">
        <v>8</v>
      </c>
      <c r="C21" s="88">
        <f t="shared" si="0"/>
        <v>4.6875</v>
      </c>
      <c r="D21" s="89">
        <f>H21+J21+L21+P21+R21+T21+V21+X21+Z21+AF21+AH21+AJ21+AK21+AX21+AZ21+BB21</f>
        <v>75</v>
      </c>
      <c r="E21" s="52" t="s">
        <v>132</v>
      </c>
      <c r="F21" s="44"/>
      <c r="G21" s="71">
        <f>946873.3/946873.3*100</f>
        <v>100</v>
      </c>
      <c r="H21" s="53">
        <v>5</v>
      </c>
      <c r="I21" s="71">
        <f>86705.3/86705.3*100</f>
        <v>100</v>
      </c>
      <c r="J21" s="53">
        <v>5</v>
      </c>
      <c r="K21" s="74">
        <f>936980.3/946873.3*100</f>
        <v>98.955192843646557</v>
      </c>
      <c r="L21" s="54" t="s">
        <v>136</v>
      </c>
      <c r="M21" s="73"/>
      <c r="N21" s="62"/>
      <c r="O21" s="74">
        <f>230091.4/936980.3*100</f>
        <v>24.556695589010779</v>
      </c>
      <c r="P21" s="60">
        <v>5</v>
      </c>
      <c r="Q21" s="58" t="s">
        <v>128</v>
      </c>
      <c r="R21" s="57">
        <v>5</v>
      </c>
      <c r="S21" s="58" t="s">
        <v>128</v>
      </c>
      <c r="T21" s="57">
        <v>5</v>
      </c>
      <c r="U21" s="77">
        <f>25.6/936980.3*100</f>
        <v>2.7321812422310267E-3</v>
      </c>
      <c r="V21" s="60">
        <v>5</v>
      </c>
      <c r="W21" s="59" t="s">
        <v>128</v>
      </c>
      <c r="X21" s="57">
        <v>5</v>
      </c>
      <c r="Y21" s="15" t="s">
        <v>85</v>
      </c>
      <c r="Z21" s="24">
        <v>5</v>
      </c>
      <c r="AA21" s="33" t="s">
        <v>132</v>
      </c>
      <c r="AB21" s="44"/>
      <c r="AC21" s="33" t="s">
        <v>132</v>
      </c>
      <c r="AD21" s="44"/>
      <c r="AE21" s="59" t="s">
        <v>141</v>
      </c>
      <c r="AF21" s="68">
        <v>5</v>
      </c>
      <c r="AG21" s="59" t="s">
        <v>138</v>
      </c>
      <c r="AH21" s="61">
        <v>5</v>
      </c>
      <c r="AI21" s="51" t="s">
        <v>102</v>
      </c>
      <c r="AJ21" s="51">
        <v>5</v>
      </c>
      <c r="AK21" s="49">
        <v>5</v>
      </c>
      <c r="AL21" s="46" t="s">
        <v>131</v>
      </c>
      <c r="AM21" s="46" t="s">
        <v>131</v>
      </c>
      <c r="AN21" s="46" t="s">
        <v>131</v>
      </c>
      <c r="AO21" s="49"/>
      <c r="AP21" s="46" t="s">
        <v>131</v>
      </c>
      <c r="AQ21" s="49" t="s">
        <v>129</v>
      </c>
      <c r="AR21" s="46" t="s">
        <v>129</v>
      </c>
      <c r="AS21" s="46" t="s">
        <v>131</v>
      </c>
      <c r="AT21" s="92" t="s">
        <v>129</v>
      </c>
      <c r="AU21" s="92"/>
      <c r="AV21" s="32"/>
      <c r="AW21" s="71">
        <f>13/2479*100</f>
        <v>0.5244050020169424</v>
      </c>
      <c r="AX21" s="40">
        <v>4</v>
      </c>
      <c r="AY21" s="75">
        <f>1314.3/28162.8*100</f>
        <v>4.6667944948655666</v>
      </c>
      <c r="AZ21" s="56">
        <v>1</v>
      </c>
      <c r="BA21" s="36">
        <f>8/8*100</f>
        <v>100</v>
      </c>
      <c r="BB21" s="36">
        <v>5</v>
      </c>
    </row>
    <row r="22" spans="1:54" s="1" customFormat="1" ht="35.65" customHeight="1">
      <c r="A22" s="24">
        <v>9</v>
      </c>
      <c r="B22" s="26" t="s">
        <v>6</v>
      </c>
      <c r="C22" s="88">
        <f t="shared" si="0"/>
        <v>4.75</v>
      </c>
      <c r="D22" s="89">
        <f>H22+J22+L22+P22+R22+T22+V22+X22+Z22+AF22+AH22+AJ22+AK22+AX22+AZ22+BB22</f>
        <v>76</v>
      </c>
      <c r="E22" s="52" t="s">
        <v>132</v>
      </c>
      <c r="F22" s="44"/>
      <c r="G22" s="71">
        <f>66985.1/66985.1*100</f>
        <v>100</v>
      </c>
      <c r="H22" s="53">
        <v>5</v>
      </c>
      <c r="I22" s="71">
        <f>38876.1/38876.1*100</f>
        <v>100</v>
      </c>
      <c r="J22" s="53">
        <v>5</v>
      </c>
      <c r="K22" s="74">
        <f>65048.5/66985.1*100</f>
        <v>97.108909294753602</v>
      </c>
      <c r="L22" s="54" t="s">
        <v>136</v>
      </c>
      <c r="M22" s="73"/>
      <c r="N22" s="62"/>
      <c r="O22" s="74">
        <f>21308.5/65048.5*100</f>
        <v>32.757865285133406</v>
      </c>
      <c r="P22" s="60">
        <v>5</v>
      </c>
      <c r="Q22" s="58" t="s">
        <v>128</v>
      </c>
      <c r="R22" s="57">
        <v>5</v>
      </c>
      <c r="S22" s="58" t="s">
        <v>128</v>
      </c>
      <c r="T22" s="57">
        <v>5</v>
      </c>
      <c r="U22" s="76">
        <f>141.6/65048.5*100</f>
        <v>0.2176837282950414</v>
      </c>
      <c r="V22" s="64">
        <v>5</v>
      </c>
      <c r="W22" s="59" t="s">
        <v>128</v>
      </c>
      <c r="X22" s="57">
        <v>5</v>
      </c>
      <c r="Y22" s="15" t="s">
        <v>85</v>
      </c>
      <c r="Z22" s="24">
        <v>5</v>
      </c>
      <c r="AA22" s="33" t="s">
        <v>132</v>
      </c>
      <c r="AB22" s="44"/>
      <c r="AC22" s="33" t="s">
        <v>132</v>
      </c>
      <c r="AD22" s="44"/>
      <c r="AE22" s="59" t="s">
        <v>141</v>
      </c>
      <c r="AF22" s="68">
        <v>5</v>
      </c>
      <c r="AG22" s="59" t="s">
        <v>138</v>
      </c>
      <c r="AH22" s="61">
        <v>5</v>
      </c>
      <c r="AI22" s="51" t="s">
        <v>102</v>
      </c>
      <c r="AJ22" s="51">
        <v>5</v>
      </c>
      <c r="AK22" s="48">
        <v>3</v>
      </c>
      <c r="AL22" s="46" t="s">
        <v>130</v>
      </c>
      <c r="AM22" s="46" t="s">
        <v>130</v>
      </c>
      <c r="AN22" s="46" t="s">
        <v>131</v>
      </c>
      <c r="AO22" s="48"/>
      <c r="AP22" s="46" t="s">
        <v>131</v>
      </c>
      <c r="AQ22" s="48" t="s">
        <v>129</v>
      </c>
      <c r="AR22" s="46" t="s">
        <v>131</v>
      </c>
      <c r="AS22" s="46" t="s">
        <v>131</v>
      </c>
      <c r="AT22" s="92" t="s">
        <v>131</v>
      </c>
      <c r="AU22" s="92"/>
      <c r="AV22" s="32"/>
      <c r="AW22" s="71">
        <f>1/775*100</f>
        <v>0.12903225806451613</v>
      </c>
      <c r="AX22" s="40">
        <v>4</v>
      </c>
      <c r="AY22" s="75">
        <f>908.2/4947.1*100</f>
        <v>18.358230074184874</v>
      </c>
      <c r="AZ22" s="56">
        <v>4</v>
      </c>
      <c r="BA22" s="36">
        <f>5/5*100</f>
        <v>100</v>
      </c>
      <c r="BB22" s="36">
        <v>5</v>
      </c>
    </row>
    <row r="23" spans="1:54" s="1" customFormat="1" ht="40.700000000000003" customHeight="1">
      <c r="A23" s="24">
        <v>10</v>
      </c>
      <c r="B23" s="26" t="s">
        <v>5</v>
      </c>
      <c r="C23" s="88">
        <f t="shared" si="0"/>
        <v>4.625</v>
      </c>
      <c r="D23" s="90">
        <f>H23+J23+L23+P23+R23+T23+V23+X23+Z23+AF23+AH23+AJ23+AK23+AX23+AZ23+BB23</f>
        <v>74</v>
      </c>
      <c r="E23" s="52" t="s">
        <v>132</v>
      </c>
      <c r="F23" s="44"/>
      <c r="G23" s="71">
        <f>95252.6/95252.6*100</f>
        <v>100</v>
      </c>
      <c r="H23" s="53">
        <v>5</v>
      </c>
      <c r="I23" s="71">
        <f>81006.5/81006.5*100</f>
        <v>100</v>
      </c>
      <c r="J23" s="53">
        <v>5</v>
      </c>
      <c r="K23" s="74">
        <f>95192.2/95252.6*100</f>
        <v>99.936589657395174</v>
      </c>
      <c r="L23" s="54" t="s">
        <v>136</v>
      </c>
      <c r="M23" s="73"/>
      <c r="N23" s="62"/>
      <c r="O23" s="74">
        <f>31549/95192.2*100</f>
        <v>33.1424213328403</v>
      </c>
      <c r="P23" s="60">
        <v>5</v>
      </c>
      <c r="Q23" s="58" t="s">
        <v>128</v>
      </c>
      <c r="R23" s="57">
        <v>5</v>
      </c>
      <c r="S23" s="58" t="s">
        <v>128</v>
      </c>
      <c r="T23" s="57">
        <v>5</v>
      </c>
      <c r="U23" s="78">
        <f>0.3/95192.2*100</f>
        <v>3.1515187168696594E-4</v>
      </c>
      <c r="V23" s="60">
        <v>5</v>
      </c>
      <c r="W23" s="59" t="s">
        <v>128</v>
      </c>
      <c r="X23" s="67">
        <v>5</v>
      </c>
      <c r="Y23" s="15" t="s">
        <v>85</v>
      </c>
      <c r="Z23" s="24">
        <v>5</v>
      </c>
      <c r="AA23" s="33" t="s">
        <v>132</v>
      </c>
      <c r="AB23" s="44"/>
      <c r="AC23" s="33" t="s">
        <v>132</v>
      </c>
      <c r="AD23" s="44"/>
      <c r="AE23" s="59" t="s">
        <v>141</v>
      </c>
      <c r="AF23" s="68">
        <v>5</v>
      </c>
      <c r="AG23" s="59" t="s">
        <v>138</v>
      </c>
      <c r="AH23" s="67">
        <v>5</v>
      </c>
      <c r="AI23" s="51" t="s">
        <v>102</v>
      </c>
      <c r="AJ23" s="68">
        <v>5</v>
      </c>
      <c r="AK23" s="66">
        <v>3</v>
      </c>
      <c r="AL23" s="46" t="s">
        <v>131</v>
      </c>
      <c r="AM23" s="46" t="s">
        <v>130</v>
      </c>
      <c r="AN23" s="46" t="s">
        <v>130</v>
      </c>
      <c r="AO23" s="30"/>
      <c r="AP23" s="46" t="s">
        <v>130</v>
      </c>
      <c r="AQ23" s="48" t="s">
        <v>129</v>
      </c>
      <c r="AR23" s="46" t="s">
        <v>129</v>
      </c>
      <c r="AS23" s="46" t="s">
        <v>131</v>
      </c>
      <c r="AT23" s="92" t="s">
        <v>130</v>
      </c>
      <c r="AU23" s="92"/>
      <c r="AV23" s="32"/>
      <c r="AW23" s="71">
        <f>8/565*100</f>
        <v>1.415929203539823</v>
      </c>
      <c r="AX23" s="40">
        <v>4</v>
      </c>
      <c r="AY23" s="75">
        <f>612.3/11901.22*100</f>
        <v>5.1448506959790672</v>
      </c>
      <c r="AZ23" s="56">
        <v>2</v>
      </c>
      <c r="BA23" s="36">
        <f>4/4*100</f>
        <v>100</v>
      </c>
      <c r="BB23" s="36">
        <v>5</v>
      </c>
    </row>
    <row r="24" spans="1:54" s="1" customFormat="1" ht="30.75" customHeight="1">
      <c r="A24" s="24">
        <v>11</v>
      </c>
      <c r="B24" s="25" t="s">
        <v>7</v>
      </c>
      <c r="C24" s="88">
        <f>D24/12</f>
        <v>4.416666666666667</v>
      </c>
      <c r="D24" s="89">
        <f>L24+P24+R24+T24+V24+X24+Z24+AF24+AH24+AX24+AZ24+BB24</f>
        <v>53</v>
      </c>
      <c r="E24" s="52" t="s">
        <v>132</v>
      </c>
      <c r="F24" s="44"/>
      <c r="G24" s="52" t="s">
        <v>132</v>
      </c>
      <c r="H24" s="53"/>
      <c r="I24" s="52" t="s">
        <v>132</v>
      </c>
      <c r="J24" s="53"/>
      <c r="K24" s="74">
        <f>7320.5/7378.5*100</f>
        <v>99.21393237107813</v>
      </c>
      <c r="L24" s="54" t="s">
        <v>136</v>
      </c>
      <c r="M24" s="73"/>
      <c r="N24" s="62"/>
      <c r="O24" s="74">
        <f>2632.4/7320.5*100</f>
        <v>35.959292398060242</v>
      </c>
      <c r="P24" s="60">
        <v>3</v>
      </c>
      <c r="Q24" s="58" t="s">
        <v>128</v>
      </c>
      <c r="R24" s="57">
        <v>5</v>
      </c>
      <c r="S24" s="58" t="s">
        <v>128</v>
      </c>
      <c r="T24" s="57">
        <v>5</v>
      </c>
      <c r="U24" s="76">
        <f>0/7320.5*100</f>
        <v>0</v>
      </c>
      <c r="V24" s="60">
        <v>5</v>
      </c>
      <c r="W24" s="59" t="s">
        <v>128</v>
      </c>
      <c r="X24" s="57">
        <v>5</v>
      </c>
      <c r="Y24" s="15" t="s">
        <v>85</v>
      </c>
      <c r="Z24" s="24">
        <v>5</v>
      </c>
      <c r="AA24" s="33" t="s">
        <v>132</v>
      </c>
      <c r="AB24" s="37"/>
      <c r="AC24" s="33" t="s">
        <v>132</v>
      </c>
      <c r="AD24" s="37"/>
      <c r="AE24" s="59" t="s">
        <v>141</v>
      </c>
      <c r="AF24" s="66">
        <v>5</v>
      </c>
      <c r="AG24" s="59" t="s">
        <v>138</v>
      </c>
      <c r="AH24" s="61">
        <v>5</v>
      </c>
      <c r="AI24" s="52" t="s">
        <v>132</v>
      </c>
      <c r="AJ24" s="51"/>
      <c r="AK24" s="33" t="s">
        <v>132</v>
      </c>
      <c r="AL24" s="33"/>
      <c r="AM24" s="37"/>
      <c r="AN24" s="37"/>
      <c r="AO24" s="37"/>
      <c r="AP24" s="37"/>
      <c r="AQ24" s="37"/>
      <c r="AR24" s="37"/>
      <c r="AS24" s="37"/>
      <c r="AT24" s="92"/>
      <c r="AU24" s="92"/>
      <c r="AV24" s="32"/>
      <c r="AW24" s="70">
        <f>12/328*100</f>
        <v>3.6585365853658534</v>
      </c>
      <c r="AX24" s="40">
        <v>4</v>
      </c>
      <c r="AY24" s="75">
        <f>16.4/1289.3*100</f>
        <v>1.2720080663926161</v>
      </c>
      <c r="AZ24" s="56">
        <v>1</v>
      </c>
      <c r="BA24" s="36">
        <f>1/1*100</f>
        <v>100</v>
      </c>
      <c r="BB24" s="36">
        <v>5</v>
      </c>
    </row>
    <row r="25" spans="1:54" ht="3.95" customHeight="1">
      <c r="C25" s="11"/>
      <c r="AE25" s="79"/>
      <c r="AF25" s="79"/>
    </row>
    <row r="26" spans="1:54" s="1" customFormat="1" ht="37.35" customHeight="1">
      <c r="B26" s="95" t="s">
        <v>140</v>
      </c>
      <c r="C26" s="95"/>
      <c r="D26" s="95"/>
      <c r="E26" s="96"/>
      <c r="F26" s="96"/>
      <c r="G26" s="96"/>
      <c r="AE26" s="80"/>
      <c r="AF26" s="80"/>
      <c r="AW26" s="9"/>
    </row>
    <row r="28" spans="1:54">
      <c r="C28" s="10"/>
    </row>
  </sheetData>
  <mergeCells count="51">
    <mergeCell ref="W5:X6"/>
    <mergeCell ref="AW1:BB1"/>
    <mergeCell ref="AY5:AZ6"/>
    <mergeCell ref="BA5:BB6"/>
    <mergeCell ref="AK5:AU5"/>
    <mergeCell ref="AW5:AX6"/>
    <mergeCell ref="AT6:AU6"/>
    <mergeCell ref="AR7:AU7"/>
    <mergeCell ref="AT18:AU18"/>
    <mergeCell ref="B1:D1"/>
    <mergeCell ref="K5:N6"/>
    <mergeCell ref="U5:V6"/>
    <mergeCell ref="Y5:Z6"/>
    <mergeCell ref="AE5:AF6"/>
    <mergeCell ref="G4:P4"/>
    <mergeCell ref="Q5:R6"/>
    <mergeCell ref="S5:T6"/>
    <mergeCell ref="AT22:AU22"/>
    <mergeCell ref="AT23:AU23"/>
    <mergeCell ref="AA5:AB6"/>
    <mergeCell ref="J1:R1"/>
    <mergeCell ref="AI5:AJ6"/>
    <mergeCell ref="AT12:AU12"/>
    <mergeCell ref="AT13:AU13"/>
    <mergeCell ref="AG5:AH6"/>
    <mergeCell ref="AC5:AD6"/>
    <mergeCell ref="AL7:AQ7"/>
    <mergeCell ref="E5:F6"/>
    <mergeCell ref="G5:H6"/>
    <mergeCell ref="I5:J6"/>
    <mergeCell ref="O5:P6"/>
    <mergeCell ref="A5:A13"/>
    <mergeCell ref="B5:B13"/>
    <mergeCell ref="C5:C13"/>
    <mergeCell ref="D5:D13"/>
    <mergeCell ref="AT17:AU17"/>
    <mergeCell ref="AT14:AU14"/>
    <mergeCell ref="AT11:AU11"/>
    <mergeCell ref="AL10:AQ10"/>
    <mergeCell ref="AR10:AU10"/>
    <mergeCell ref="B26:G26"/>
    <mergeCell ref="AT24:AU24"/>
    <mergeCell ref="AT19:AU19"/>
    <mergeCell ref="AT20:AU20"/>
    <mergeCell ref="AT21:AU21"/>
    <mergeCell ref="AL8:AQ8"/>
    <mergeCell ref="AR8:AU8"/>
    <mergeCell ref="AL9:AQ9"/>
    <mergeCell ref="AR9:AU9"/>
    <mergeCell ref="AT15:AU15"/>
    <mergeCell ref="AT16:AU16"/>
  </mergeCells>
  <pageMargins left="0.31496062992125984" right="0.23622047244094491" top="0.23622047244094491" bottom="0.19685039370078741" header="0.23622047244094491" footer="0.31496062992125984"/>
  <pageSetup paperSize="9" scale="45" fitToWidth="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2018-02-21T13:07:30Z</dcterms:modified>
</cp:coreProperties>
</file>