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</sheets>
  <calcPr calcId="125725" refMode="R1C1"/>
</workbook>
</file>

<file path=xl/calcChain.xml><?xml version="1.0" encoding="utf-8"?>
<calcChain xmlns="http://schemas.openxmlformats.org/spreadsheetml/2006/main">
  <c r="C23" i="1"/>
  <c r="C20"/>
  <c r="C21"/>
  <c r="C19"/>
  <c r="C18"/>
  <c r="C17"/>
  <c r="C16"/>
  <c r="C15"/>
  <c r="C13"/>
  <c r="C12"/>
  <c r="D12"/>
  <c r="K22"/>
  <c r="K21"/>
  <c r="K20"/>
  <c r="K19"/>
  <c r="K18"/>
  <c r="K17"/>
  <c r="K16"/>
  <c r="K15"/>
  <c r="K14"/>
  <c r="K13"/>
  <c r="K12"/>
  <c r="AA21"/>
  <c r="AA20"/>
  <c r="AA19"/>
  <c r="AA17"/>
  <c r="AA16"/>
  <c r="Q22"/>
  <c r="Q21"/>
  <c r="Q20"/>
  <c r="Q19"/>
  <c r="Q18"/>
  <c r="Q17"/>
  <c r="Q16"/>
  <c r="Q15"/>
  <c r="Q14"/>
  <c r="Q13"/>
  <c r="Q12"/>
  <c r="S22"/>
  <c r="T22"/>
  <c r="D22"/>
  <c r="C22"/>
  <c r="S21"/>
  <c r="S20"/>
  <c r="T20"/>
  <c r="D20"/>
  <c r="S19"/>
  <c r="S18"/>
  <c r="S17"/>
  <c r="S16"/>
  <c r="S15"/>
  <c r="S14"/>
  <c r="D14"/>
  <c r="C14"/>
  <c r="S13"/>
  <c r="T13"/>
  <c r="D13"/>
  <c r="S12"/>
  <c r="T12"/>
  <c r="D15"/>
  <c r="D16"/>
  <c r="D17"/>
  <c r="D18"/>
  <c r="D19"/>
  <c r="D21"/>
</calcChain>
</file>

<file path=xl/sharedStrings.xml><?xml version="1.0" encoding="utf-8"?>
<sst xmlns="http://schemas.openxmlformats.org/spreadsheetml/2006/main" count="305" uniqueCount="137">
  <si>
    <t>Контрольно-счетная палата города Волгодонска</t>
  </si>
  <si>
    <t>Финансовое управление города Волгодонска</t>
  </si>
  <si>
    <t>Управление образования г.Волгодонска</t>
  </si>
  <si>
    <t>Отдел культуры г. Волгодонска</t>
  </si>
  <si>
    <t>Комитет по физической культуре и спорту  города Волгодонска</t>
  </si>
  <si>
    <t>Комитет по управлению имуществом города Волгодонска</t>
  </si>
  <si>
    <t>Отдел ЗАГС Администрации города Волгодонска</t>
  </si>
  <si>
    <t>Департамент труда и социального развития Администрации города Волгодонска</t>
  </si>
  <si>
    <t>Управление здравоохранения г.Волгодонска</t>
  </si>
  <si>
    <t>Администрация города Волгодонска</t>
  </si>
  <si>
    <t>* -  показатель считается неприменимым</t>
  </si>
  <si>
    <t>Оценка показа-теля</t>
  </si>
  <si>
    <t>№ п/п</t>
  </si>
  <si>
    <t xml:space="preserve">Волгодонская городская Дума </t>
  </si>
  <si>
    <t>Фактическое значение показателя</t>
  </si>
  <si>
    <t>Наименование главного распорядителя средств местного бюджета</t>
  </si>
  <si>
    <t>Оценка показателя</t>
  </si>
  <si>
    <t xml:space="preserve">Итоговая оценка качества финансового менеджмента </t>
  </si>
  <si>
    <t>Рейтинговая оценка  (итоговая оценка качества финансового менеджмента/количество применимых показателей)</t>
  </si>
  <si>
    <t>1.1.Своевременность предоставления реестра расходных обязательств</t>
  </si>
  <si>
    <t>1.2.Наличие локального акта ГРБС, регламентирующего осуществление контроля за выполнением муниципальных заданий и определяющего количественно измеримые финансовые санкции (штрафы, изъятия) за нарушение условий выполнения муниципальных заданий</t>
  </si>
  <si>
    <t>1.3.Наличие локального акта ГРБС, регулирующего внутренние процедуры подготовки реестра расходных обязательств</t>
  </si>
  <si>
    <t xml:space="preserve">Фактическое значение показателя </t>
  </si>
  <si>
    <t>1.4.Доля суммы изменений в сводную бюджетную роспись города Волгодонска</t>
  </si>
  <si>
    <t>1.5.Количество изменений в решение о бюджете,  подготовленных по инициативе ГРБС</t>
  </si>
  <si>
    <t>1.6.Своевременность внесения изменений в муниципальные программы города Волгодонска в соответствии с  порядком принятия решения о разработке муниципальных программ, их формирования, реализации и оценки эффективности реализации</t>
  </si>
  <si>
    <t xml:space="preserve">2.1.Доля неисполненных на конец отчетного финансового года бюджетных ассигнований </t>
  </si>
  <si>
    <t>2.2.Равномерность расходов (без учета целевых межбюджетных трансфертов областного бюджета)</t>
  </si>
  <si>
    <t>1-(P-50)/50</t>
  </si>
  <si>
    <t>2.3.Эффективность управления кредиторской задолженностью по расчетам с поставщиками и подрядчиками</t>
  </si>
  <si>
    <t>локальный акт ГРБС утвержден</t>
  </si>
  <si>
    <t xml:space="preserve">локальный акт ГРБС не утвержден </t>
  </si>
  <si>
    <t>внесены 3 и менее поправок в решение о бюджете по инициативе ГРБС</t>
  </si>
  <si>
    <t>внесены более 3 поправок в решение о бюджете по инициативе ГРБС</t>
  </si>
  <si>
    <t>нарушений не выявлено</t>
  </si>
  <si>
    <t>выявлено 1 нарушение</t>
  </si>
  <si>
    <t>выявлены более 1 нарушения</t>
  </si>
  <si>
    <t>2.4.Наличие Порядка составления, утверждения и ведения бюджетных смет участников бюджетного процесса</t>
  </si>
  <si>
    <t>локальный акт ГРБС не утвержден</t>
  </si>
  <si>
    <t>2.5.Наличие Порядка составления и утверждения планов финансово-хозяйственной деятельности бюджетных и автономных учреждений</t>
  </si>
  <si>
    <t>2.6.Удельный вес муниципальных учреждений, подведомственных ГРБС, выполнивших муниципальное задание на 100%</t>
  </si>
  <si>
    <t>3.1.Соблюдение сроков предоставления ГРБС бюджетной отчетности и бухгалтерской отчетности муниципальных автономных и бюджетных учреждений</t>
  </si>
  <si>
    <t>сроки соблюдены</t>
  </si>
  <si>
    <t>сроки не соблюдены</t>
  </si>
  <si>
    <t>3.2.Качество формирования ГРБС бюджетной отчетности и бухгалтерской отчетности муниципальных автономных и бюджетных учреждений</t>
  </si>
  <si>
    <t>представленная отчетность не требует исправлений</t>
  </si>
  <si>
    <t>представленная отчетность требует исправлений, представлена не в полном объеме</t>
  </si>
  <si>
    <t xml:space="preserve">4.1.Осуществление мероприятий внутреннего муниципального финансового контроля </t>
  </si>
  <si>
    <t>таблица № 5 «Сведения о результатах мероприятий внутреннего государственного (муниципального) контроля» представлена и нарушения отсутствуют</t>
  </si>
  <si>
    <t>таблица № 5 «Сведения о результатах мероприятий внутреннего государственного (муниципального) контроля» представлена с указанием нарушений по итогам контроля</t>
  </si>
  <si>
    <t>отсутствия нарушений за отчетный финансовый год</t>
  </si>
  <si>
    <t>4.3.Качество представления документов в соответствии с Порядком санкционирования оплаты денежных обязательств получателей средств местного бюджета и главных администраторов источников финансирования дефицита бюджета города Волгодонска</t>
  </si>
  <si>
    <t>P ≤ 0,1%</t>
  </si>
  <si>
    <t>0,1% &lt; Р ≤ 0,5%</t>
  </si>
  <si>
    <t>0,5% &lt; Р ≤ 2%</t>
  </si>
  <si>
    <t>2% &lt; Р ≤ 5%</t>
  </si>
  <si>
    <t>P &gt; 5%</t>
  </si>
  <si>
    <t>Р ≥ 50% 
либо No=0 и N1=0</t>
  </si>
  <si>
    <t>Р &lt; 0% 
либо No=0 и N1=1</t>
  </si>
  <si>
    <t>P &lt; 100%</t>
  </si>
  <si>
    <t>P ≤ 1,5%</t>
  </si>
  <si>
    <t>P &gt; 1,5%</t>
  </si>
  <si>
    <t>P ≤ 50%</t>
  </si>
  <si>
    <t>50% &lt; P ≤ 100%</t>
  </si>
  <si>
    <t>P &gt; 100%</t>
  </si>
  <si>
    <t>P ≤ 5%</t>
  </si>
  <si>
    <t>P ≤ 15%</t>
  </si>
  <si>
    <t>P &gt; 15%</t>
  </si>
  <si>
    <t>P ≥ 5</t>
  </si>
  <si>
    <t>P = 4</t>
  </si>
  <si>
    <t>P = 3</t>
  </si>
  <si>
    <t>P = 2</t>
  </si>
  <si>
    <t>P = 1</t>
  </si>
  <si>
    <t>P = 0</t>
  </si>
  <si>
    <t>P = 100%</t>
  </si>
  <si>
    <t>4.4.Наличие локальных актов ГРБС об организации внутреннего финансового контроля и внутреннего финансового аудита</t>
  </si>
  <si>
    <t>локальные акты ГРБС утверждены</t>
  </si>
  <si>
    <t>локальные акты ГРБС не утверждены</t>
  </si>
  <si>
    <t>4.5.Наличие локального акта ГРБС о порядке проведения мониторинга качества финансового менеджмента подведомственных муниципальных учреждений</t>
  </si>
  <si>
    <t>5.1.Повышение квалификации сотрудников финансового (финансово-экономического) подразделения ГРБС</t>
  </si>
  <si>
    <t>P/100</t>
  </si>
  <si>
    <t>P= 100  *Nkv / N</t>
  </si>
  <si>
    <t>Nkv - количество сотрудников финансового (финансово-экономического) подразделения ГРБС, обладающих свидетельствами (сертификатами, удостоверениями) о прохождении повышения квалификации в области экономики и финансов в течение последних трех лет</t>
  </si>
  <si>
    <t>N - общее фактическое количество сотрудников финансового (финансово-экономического) подразделения ГРБС по состоянию на 1 января текущего финансового года</t>
  </si>
  <si>
    <t>5.2.Укомплектованность финансового (финансово-экономического) подразделения ГРБС</t>
  </si>
  <si>
    <t>P = 100 * n / N</t>
  </si>
  <si>
    <t>n - фактическое количество замещенных штатных единиц в финансовом (финансово-экономическом) подразделении ГРБС по состоянию на 1 января текущего финансового года</t>
  </si>
  <si>
    <t>N - общее количество штатных единиц в финансовом (финансово-экономическом) подразделении ГРБС согласно штатному расписанию на 1 января текущего финансового года</t>
  </si>
  <si>
    <t>P &lt; i</t>
  </si>
  <si>
    <t>i &lt; P &lt; 2i</t>
  </si>
  <si>
    <t>1 - ((P-i) / i)</t>
  </si>
  <si>
    <t>P&gt;2i</t>
  </si>
  <si>
    <t>4.2.Динамика нарушений, выявленных в ходе внешних контрольных мероприятий 
(No - количество нарушений, выявленных в ходе внешних контрольных мероприятий, по состоянию на 1 января отчетного года, 
N1 - количество нарушений, выявленных в ходе внешних контрольных мероприятий, по состоянию на 1 января года, следующего за отчетным)</t>
  </si>
  <si>
    <t>Начальник Финансового управления города Волгодонска                _________________________                М.А.Вялых</t>
  </si>
  <si>
    <t>*</t>
  </si>
  <si>
    <t>Р=100*2/4=50</t>
  </si>
  <si>
    <t>Р=100*4/4=100</t>
  </si>
  <si>
    <t>локальный акт утвержден</t>
  </si>
  <si>
    <t>Р=100*0/1=0</t>
  </si>
  <si>
    <t>Р=100*1/1=100</t>
  </si>
  <si>
    <t>Р=0/1493*100=0</t>
  </si>
  <si>
    <t>Р=200/4931*100=4,1</t>
  </si>
  <si>
    <t>Р=1/616*100=0,2</t>
  </si>
  <si>
    <t>Р=0/434*100=0</t>
  </si>
  <si>
    <t>Р=21/1228*100=1,7</t>
  </si>
  <si>
    <t>Р=41/2291*100=1,8</t>
  </si>
  <si>
    <t>Р=108/15137*100=0,7</t>
  </si>
  <si>
    <t>Р=35/4567*100=0,8</t>
  </si>
  <si>
    <t>Р=20/1374*100=1,5</t>
  </si>
  <si>
    <t>Р=20/1003*100=2</t>
  </si>
  <si>
    <t>Р=29/614*100=4,7</t>
  </si>
  <si>
    <t>Р=100*3/3=100</t>
  </si>
  <si>
    <t>Р=100*0/6=0</t>
  </si>
  <si>
    <t>Р=100*6/6=100</t>
  </si>
  <si>
    <t>Р=100*3/8=37,5</t>
  </si>
  <si>
    <t>Р=100*8/8=100</t>
  </si>
  <si>
    <t>Р=100*4/10=40</t>
  </si>
  <si>
    <t>Р=100*10/10=100</t>
  </si>
  <si>
    <t>Р=100*0/9=0</t>
  </si>
  <si>
    <t>Р=100*9/10=90</t>
  </si>
  <si>
    <t>Р=100*2/7=28,6</t>
  </si>
  <si>
    <t>Р=100*7/7=100</t>
  </si>
  <si>
    <t>Р=100*0/17=0</t>
  </si>
  <si>
    <t>Р=100*17/17=100</t>
  </si>
  <si>
    <t>локальный акт ГРБС  утвержден</t>
  </si>
  <si>
    <t>представленная отчетность требует исправлений</t>
  </si>
  <si>
    <t>Р=100*(1-13)/1=-1200</t>
  </si>
  <si>
    <t>Р=100*(16-19)/16=-18,75</t>
  </si>
  <si>
    <t>Р=100*(4-4)/4=0</t>
  </si>
  <si>
    <t>Р=100*(8-1)/8=87,5</t>
  </si>
  <si>
    <t xml:space="preserve"> No=0 и N1=1</t>
  </si>
  <si>
    <t>6.1.Динамика объемов материальных запасов
(i - значение инфляции в отчетном финансовом году,
i=4)</t>
  </si>
  <si>
    <t>таблица № 5 представлена с указанием нарушений по итогам контроля</t>
  </si>
  <si>
    <t>таблица № 5 представлена и нарушения отсутствуют</t>
  </si>
  <si>
    <t>таблица № 5  представлена и нарушения отсутствуют</t>
  </si>
  <si>
    <t xml:space="preserve">                                   Мониторинг качества финансового менеджмента, осуществляемого главными распорядителями средств местного бюджета, за  2018 год</t>
  </si>
  <si>
    <t>Среднее значение оценки качества финансового менеджмента</t>
  </si>
</sst>
</file>

<file path=xl/styles.xml><?xml version="1.0" encoding="utf-8"?>
<styleSheet xmlns="http://schemas.openxmlformats.org/spreadsheetml/2006/main">
  <numFmts count="3">
    <numFmt numFmtId="172" formatCode="0.0%"/>
    <numFmt numFmtId="173" formatCode="0.0"/>
    <numFmt numFmtId="174" formatCode="0.000"/>
  </numFmts>
  <fonts count="11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2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6">
    <xf numFmtId="0" fontId="0" fillId="0" borderId="0" xfId="0"/>
    <xf numFmtId="0" fontId="0" fillId="2" borderId="0" xfId="0" applyFill="1"/>
    <xf numFmtId="0" fontId="4" fillId="2" borderId="0" xfId="0" applyFont="1" applyFill="1"/>
    <xf numFmtId="0" fontId="5" fillId="2" borderId="0" xfId="0" applyFont="1" applyFill="1"/>
    <xf numFmtId="0" fontId="4" fillId="2" borderId="0" xfId="0" applyFont="1" applyFill="1" applyBorder="1"/>
    <xf numFmtId="0" fontId="0" fillId="2" borderId="0" xfId="0" applyFill="1" applyBorder="1"/>
    <xf numFmtId="173" fontId="4" fillId="2" borderId="0" xfId="0" applyNumberFormat="1" applyFont="1" applyFill="1"/>
    <xf numFmtId="49" fontId="6" fillId="0" borderId="1" xfId="0" applyNumberFormat="1" applyFont="1" applyFill="1" applyBorder="1" applyAlignment="1">
      <alignment horizontal="center" vertical="center"/>
    </xf>
    <xf numFmtId="172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172" fontId="6" fillId="0" borderId="2" xfId="0" applyNumberFormat="1" applyFont="1" applyFill="1" applyBorder="1" applyAlignment="1">
      <alignment horizontal="center" vertical="center" wrapText="1"/>
    </xf>
    <xf numFmtId="0" fontId="7" fillId="2" borderId="0" xfId="0" applyFont="1" applyFill="1" applyAlignment="1">
      <alignment vertical="center"/>
    </xf>
    <xf numFmtId="49" fontId="6" fillId="0" borderId="2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6" fillId="2" borderId="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top" wrapText="1"/>
    </xf>
    <xf numFmtId="0" fontId="6" fillId="0" borderId="4" xfId="0" applyFont="1" applyFill="1" applyBorder="1" applyAlignment="1">
      <alignment vertical="top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top" wrapText="1"/>
    </xf>
    <xf numFmtId="0" fontId="5" fillId="0" borderId="6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justify" vertical="top" wrapText="1"/>
    </xf>
    <xf numFmtId="0" fontId="5" fillId="0" borderId="4" xfId="0" applyFont="1" applyFill="1" applyBorder="1" applyAlignment="1">
      <alignment horizontal="justify" vertical="top" wrapText="1"/>
    </xf>
    <xf numFmtId="0" fontId="5" fillId="0" borderId="7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0" fontId="5" fillId="0" borderId="8" xfId="0" applyFont="1" applyFill="1" applyBorder="1" applyAlignment="1">
      <alignment horizontal="center" vertical="top" wrapText="1"/>
    </xf>
    <xf numFmtId="0" fontId="5" fillId="0" borderId="9" xfId="0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top" wrapText="1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justify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/>
    </xf>
    <xf numFmtId="0" fontId="5" fillId="0" borderId="2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top" wrapText="1"/>
    </xf>
    <xf numFmtId="0" fontId="5" fillId="0" borderId="4" xfId="0" applyFont="1" applyFill="1" applyBorder="1" applyAlignment="1">
      <alignment horizontal="left" vertical="center"/>
    </xf>
    <xf numFmtId="0" fontId="5" fillId="0" borderId="4" xfId="0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vertical="top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5" xfId="0" applyFont="1" applyFill="1" applyBorder="1" applyAlignment="1">
      <alignment horizontal="center" vertical="top"/>
    </xf>
    <xf numFmtId="0" fontId="5" fillId="0" borderId="8" xfId="0" applyFont="1" applyFill="1" applyBorder="1" applyAlignment="1">
      <alignment horizontal="center" vertical="top"/>
    </xf>
    <xf numFmtId="0" fontId="5" fillId="0" borderId="9" xfId="0" applyFont="1" applyFill="1" applyBorder="1" applyAlignment="1">
      <alignment horizontal="center" vertical="top"/>
    </xf>
    <xf numFmtId="0" fontId="5" fillId="0" borderId="1" xfId="0" applyFont="1" applyFill="1" applyBorder="1" applyAlignment="1">
      <alignment horizontal="center" vertical="top"/>
    </xf>
    <xf numFmtId="0" fontId="5" fillId="0" borderId="11" xfId="0" applyFont="1" applyFill="1" applyBorder="1" applyAlignment="1">
      <alignment horizontal="center" vertical="top"/>
    </xf>
    <xf numFmtId="0" fontId="5" fillId="0" borderId="2" xfId="0" applyFont="1" applyFill="1" applyBorder="1"/>
    <xf numFmtId="0" fontId="5" fillId="0" borderId="12" xfId="0" applyFont="1" applyFill="1" applyBorder="1" applyAlignment="1">
      <alignment horizontal="center" vertical="top"/>
    </xf>
    <xf numFmtId="0" fontId="5" fillId="0" borderId="4" xfId="0" applyFont="1" applyFill="1" applyBorder="1"/>
    <xf numFmtId="0" fontId="5" fillId="0" borderId="13" xfId="0" applyFont="1" applyFill="1" applyBorder="1" applyAlignment="1">
      <alignment horizontal="center" vertical="top"/>
    </xf>
    <xf numFmtId="0" fontId="5" fillId="0" borderId="14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/>
    </xf>
    <xf numFmtId="173" fontId="9" fillId="0" borderId="2" xfId="0" applyNumberFormat="1" applyFont="1" applyFill="1" applyBorder="1" applyAlignment="1">
      <alignment horizontal="center" vertical="center" wrapText="1"/>
    </xf>
    <xf numFmtId="9" fontId="6" fillId="0" borderId="1" xfId="0" applyNumberFormat="1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/>
    </xf>
    <xf numFmtId="173" fontId="6" fillId="0" borderId="2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/>
    </xf>
    <xf numFmtId="173" fontId="6" fillId="0" borderId="2" xfId="0" applyNumberFormat="1" applyFont="1" applyFill="1" applyBorder="1" applyAlignment="1">
      <alignment horizontal="center" vertical="center"/>
    </xf>
    <xf numFmtId="1" fontId="6" fillId="0" borderId="2" xfId="0" applyNumberFormat="1" applyFont="1" applyFill="1" applyBorder="1" applyAlignment="1">
      <alignment horizontal="center" vertical="center" wrapText="1"/>
    </xf>
    <xf numFmtId="1" fontId="6" fillId="0" borderId="1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/>
    </xf>
    <xf numFmtId="0" fontId="8" fillId="0" borderId="1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174" fontId="9" fillId="0" borderId="2" xfId="0" applyNumberFormat="1" applyFont="1" applyFill="1" applyBorder="1" applyAlignment="1">
      <alignment horizontal="center" vertical="center" wrapText="1"/>
    </xf>
    <xf numFmtId="174" fontId="9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 wrapText="1"/>
    </xf>
    <xf numFmtId="0" fontId="4" fillId="2" borderId="0" xfId="0" applyFont="1" applyFill="1" applyAlignment="1">
      <alignment vertical="center"/>
    </xf>
    <xf numFmtId="0" fontId="6" fillId="2" borderId="0" xfId="0" applyFont="1" applyFill="1" applyAlignment="1">
      <alignment horizontal="left" vertical="center"/>
    </xf>
    <xf numFmtId="0" fontId="5" fillId="0" borderId="6" xfId="0" applyFont="1" applyFill="1" applyBorder="1" applyAlignment="1">
      <alignment horizontal="left" vertical="center" wrapText="1"/>
    </xf>
    <xf numFmtId="0" fontId="0" fillId="0" borderId="8" xfId="0" applyBorder="1"/>
    <xf numFmtId="0" fontId="5" fillId="0" borderId="15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vertical="center"/>
    </xf>
    <xf numFmtId="0" fontId="0" fillId="0" borderId="8" xfId="0" applyFill="1" applyBorder="1" applyAlignment="1">
      <alignment vertical="center"/>
    </xf>
    <xf numFmtId="49" fontId="6" fillId="2" borderId="20" xfId="0" applyNumberFormat="1" applyFont="1" applyFill="1" applyBorder="1" applyAlignment="1">
      <alignment horizontal="center" vertical="center"/>
    </xf>
    <xf numFmtId="49" fontId="6" fillId="2" borderId="21" xfId="0" applyNumberFormat="1" applyFont="1" applyFill="1" applyBorder="1" applyAlignment="1">
      <alignment horizontal="center" vertical="center"/>
    </xf>
    <xf numFmtId="49" fontId="6" fillId="2" borderId="22" xfId="0" applyNumberFormat="1" applyFont="1" applyFill="1" applyBorder="1" applyAlignment="1">
      <alignment horizontal="center" vertical="center"/>
    </xf>
    <xf numFmtId="0" fontId="6" fillId="2" borderId="23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left" vertical="center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/>
    </xf>
    <xf numFmtId="0" fontId="3" fillId="0" borderId="15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1" fillId="0" borderId="15" xfId="0" applyFont="1" applyFill="1" applyBorder="1" applyAlignment="1" applyProtection="1">
      <alignment horizontal="center" vertical="center" wrapText="1"/>
    </xf>
    <xf numFmtId="0" fontId="1" fillId="0" borderId="16" xfId="0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 applyProtection="1">
      <alignment horizontal="center" vertical="center" wrapText="1"/>
    </xf>
    <xf numFmtId="0" fontId="1" fillId="0" borderId="12" xfId="0" applyFont="1" applyFill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26"/>
  <sheetViews>
    <sheetView tabSelected="1" zoomScale="60" zoomScaleNormal="60" workbookViewId="0">
      <selection activeCell="I23" sqref="I23"/>
    </sheetView>
  </sheetViews>
  <sheetFormatPr defaultRowHeight="15"/>
  <cols>
    <col min="1" max="1" width="7.5703125" style="2" customWidth="1"/>
    <col min="2" max="2" width="47.28515625" style="2" customWidth="1"/>
    <col min="3" max="3" width="19.28515625" style="2" customWidth="1"/>
    <col min="4" max="4" width="16.5703125" style="2" customWidth="1"/>
    <col min="5" max="5" width="11.28515625" style="2" customWidth="1"/>
    <col min="6" max="6" width="10.140625" style="2" customWidth="1"/>
    <col min="7" max="7" width="25" style="2" customWidth="1"/>
    <col min="8" max="8" width="9" style="2" customWidth="1"/>
    <col min="9" max="9" width="18.7109375" style="2" customWidth="1"/>
    <col min="10" max="10" width="9.42578125" style="2" customWidth="1"/>
    <col min="11" max="11" width="11.85546875" style="2" customWidth="1"/>
    <col min="12" max="12" width="9.7109375" style="2" customWidth="1"/>
    <col min="13" max="13" width="23.7109375" style="2" customWidth="1"/>
    <col min="14" max="14" width="9.28515625" style="2" customWidth="1"/>
    <col min="15" max="15" width="26" style="2" customWidth="1"/>
    <col min="16" max="16" width="9.7109375" style="2" customWidth="1"/>
    <col min="17" max="17" width="13.5703125" style="2" customWidth="1"/>
    <col min="18" max="18" width="9.28515625" style="2" customWidth="1"/>
    <col min="19" max="19" width="15.85546875" style="2" customWidth="1"/>
    <col min="20" max="20" width="12.42578125" style="2" customWidth="1"/>
    <col min="21" max="21" width="13.140625" style="2" customWidth="1"/>
    <col min="22" max="22" width="9" style="2" customWidth="1"/>
    <col min="23" max="23" width="19.140625" style="2" customWidth="1"/>
    <col min="24" max="24" width="9.28515625" style="2" customWidth="1"/>
    <col min="25" max="25" width="19.85546875" style="2" customWidth="1"/>
    <col min="26" max="26" width="10.7109375" style="2" customWidth="1"/>
    <col min="27" max="27" width="13" style="2" customWidth="1"/>
    <col min="28" max="28" width="11.28515625" style="2" customWidth="1"/>
    <col min="29" max="29" width="19.85546875" style="2" customWidth="1"/>
    <col min="30" max="30" width="7.140625" style="2" customWidth="1"/>
    <col min="31" max="31" width="27.7109375" style="2" customWidth="1"/>
    <col min="32" max="32" width="11" style="2" customWidth="1"/>
    <col min="33" max="33" width="31" style="2" customWidth="1"/>
    <col min="34" max="34" width="10.28515625" style="2" customWidth="1"/>
    <col min="35" max="35" width="39.140625" style="2" customWidth="1"/>
    <col min="36" max="36" width="13.28515625" style="2" customWidth="1"/>
    <col min="37" max="37" width="26" style="2" customWidth="1"/>
    <col min="38" max="38" width="9.5703125" style="2" customWidth="1"/>
    <col min="39" max="39" width="15.7109375" style="4" customWidth="1"/>
    <col min="40" max="40" width="9.85546875" style="2" customWidth="1"/>
    <col min="41" max="41" width="15.42578125" style="2" customWidth="1"/>
    <col min="42" max="42" width="11.28515625" style="2" customWidth="1"/>
    <col min="43" max="43" width="29.42578125" style="2" customWidth="1"/>
    <col min="44" max="44" width="13" style="2" customWidth="1"/>
    <col min="45" max="45" width="28.5703125" style="2" customWidth="1"/>
    <col min="46" max="46" width="13" style="2" customWidth="1"/>
    <col min="47" max="47" width="18.28515625" style="2" customWidth="1"/>
    <col min="48" max="48" width="11.7109375" style="2" customWidth="1"/>
    <col min="49" max="16384" width="9.140625" style="2"/>
  </cols>
  <sheetData>
    <row r="1" spans="1:48" ht="31.7" customHeight="1">
      <c r="A1" s="4"/>
      <c r="B1" s="114" t="s">
        <v>135</v>
      </c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</row>
    <row r="2" spans="1:48" ht="17.100000000000001" customHeight="1" thickBot="1">
      <c r="A2" s="4"/>
      <c r="G2" s="119"/>
      <c r="H2" s="119"/>
      <c r="I2" s="119"/>
      <c r="J2" s="119"/>
      <c r="K2" s="119"/>
      <c r="L2" s="119"/>
      <c r="M2" s="119"/>
      <c r="N2" s="119"/>
      <c r="O2" s="119"/>
      <c r="P2" s="119"/>
      <c r="AL2" s="4"/>
    </row>
    <row r="3" spans="1:48" ht="43.15" customHeight="1">
      <c r="A3" s="102" t="s">
        <v>12</v>
      </c>
      <c r="B3" s="105" t="s">
        <v>15</v>
      </c>
      <c r="C3" s="108" t="s">
        <v>18</v>
      </c>
      <c r="D3" s="111" t="s">
        <v>17</v>
      </c>
      <c r="E3" s="97" t="s">
        <v>19</v>
      </c>
      <c r="F3" s="97"/>
      <c r="G3" s="97" t="s">
        <v>20</v>
      </c>
      <c r="H3" s="97"/>
      <c r="I3" s="97" t="s">
        <v>21</v>
      </c>
      <c r="J3" s="97"/>
      <c r="K3" s="97" t="s">
        <v>23</v>
      </c>
      <c r="L3" s="97"/>
      <c r="M3" s="115" t="s">
        <v>24</v>
      </c>
      <c r="N3" s="116"/>
      <c r="O3" s="97" t="s">
        <v>25</v>
      </c>
      <c r="P3" s="97"/>
      <c r="Q3" s="97" t="s">
        <v>26</v>
      </c>
      <c r="R3" s="97"/>
      <c r="S3" s="97" t="s">
        <v>27</v>
      </c>
      <c r="T3" s="97"/>
      <c r="U3" s="97" t="s">
        <v>29</v>
      </c>
      <c r="V3" s="97"/>
      <c r="W3" s="97" t="s">
        <v>37</v>
      </c>
      <c r="X3" s="97"/>
      <c r="Y3" s="97" t="s">
        <v>39</v>
      </c>
      <c r="Z3" s="97"/>
      <c r="AA3" s="97" t="s">
        <v>40</v>
      </c>
      <c r="AB3" s="97"/>
      <c r="AC3" s="97" t="s">
        <v>41</v>
      </c>
      <c r="AD3" s="97"/>
      <c r="AE3" s="97" t="s">
        <v>44</v>
      </c>
      <c r="AF3" s="97"/>
      <c r="AG3" s="97" t="s">
        <v>47</v>
      </c>
      <c r="AH3" s="97"/>
      <c r="AI3" s="97" t="s">
        <v>92</v>
      </c>
      <c r="AJ3" s="97"/>
      <c r="AK3" s="97" t="s">
        <v>51</v>
      </c>
      <c r="AL3" s="97"/>
      <c r="AM3" s="120" t="s">
        <v>75</v>
      </c>
      <c r="AN3" s="120"/>
      <c r="AO3" s="120" t="s">
        <v>78</v>
      </c>
      <c r="AP3" s="120"/>
      <c r="AQ3" s="122" t="s">
        <v>79</v>
      </c>
      <c r="AR3" s="122"/>
      <c r="AS3" s="122" t="s">
        <v>84</v>
      </c>
      <c r="AT3" s="122"/>
      <c r="AU3" s="122" t="s">
        <v>131</v>
      </c>
      <c r="AV3" s="123"/>
    </row>
    <row r="4" spans="1:48" ht="56.25" customHeight="1">
      <c r="A4" s="103"/>
      <c r="B4" s="106"/>
      <c r="C4" s="109"/>
      <c r="D4" s="112"/>
      <c r="E4" s="98"/>
      <c r="F4" s="98"/>
      <c r="G4" s="98"/>
      <c r="H4" s="98"/>
      <c r="I4" s="98"/>
      <c r="J4" s="98"/>
      <c r="K4" s="98"/>
      <c r="L4" s="98"/>
      <c r="M4" s="117"/>
      <c r="N4" s="118"/>
      <c r="O4" s="98"/>
      <c r="P4" s="98"/>
      <c r="Q4" s="98"/>
      <c r="R4" s="98"/>
      <c r="S4" s="98"/>
      <c r="T4" s="98"/>
      <c r="U4" s="98"/>
      <c r="V4" s="98"/>
      <c r="W4" s="98"/>
      <c r="X4" s="98"/>
      <c r="Y4" s="98"/>
      <c r="Z4" s="98"/>
      <c r="AA4" s="98"/>
      <c r="AB4" s="98"/>
      <c r="AC4" s="98"/>
      <c r="AD4" s="98"/>
      <c r="AE4" s="98"/>
      <c r="AF4" s="98"/>
      <c r="AG4" s="98"/>
      <c r="AH4" s="98"/>
      <c r="AI4" s="98"/>
      <c r="AJ4" s="98"/>
      <c r="AK4" s="98"/>
      <c r="AL4" s="98"/>
      <c r="AM4" s="121"/>
      <c r="AN4" s="121"/>
      <c r="AO4" s="121"/>
      <c r="AP4" s="121"/>
      <c r="AQ4" s="124"/>
      <c r="AR4" s="124"/>
      <c r="AS4" s="124"/>
      <c r="AT4" s="124"/>
      <c r="AU4" s="124"/>
      <c r="AV4" s="125"/>
    </row>
    <row r="5" spans="1:48" ht="43.5" customHeight="1">
      <c r="A5" s="103"/>
      <c r="B5" s="106"/>
      <c r="C5" s="109"/>
      <c r="D5" s="112"/>
      <c r="E5" s="24" t="s">
        <v>14</v>
      </c>
      <c r="F5" s="24" t="s">
        <v>16</v>
      </c>
      <c r="G5" s="24" t="s">
        <v>14</v>
      </c>
      <c r="H5" s="24" t="s">
        <v>16</v>
      </c>
      <c r="I5" s="24" t="s">
        <v>14</v>
      </c>
      <c r="J5" s="24" t="s">
        <v>16</v>
      </c>
      <c r="K5" s="24" t="s">
        <v>14</v>
      </c>
      <c r="L5" s="24" t="s">
        <v>16</v>
      </c>
      <c r="M5" s="21" t="s">
        <v>22</v>
      </c>
      <c r="N5" s="21" t="s">
        <v>16</v>
      </c>
      <c r="O5" s="24" t="s">
        <v>14</v>
      </c>
      <c r="P5" s="24" t="s">
        <v>16</v>
      </c>
      <c r="Q5" s="24" t="s">
        <v>14</v>
      </c>
      <c r="R5" s="24" t="s">
        <v>16</v>
      </c>
      <c r="S5" s="24" t="s">
        <v>14</v>
      </c>
      <c r="T5" s="24" t="s">
        <v>16</v>
      </c>
      <c r="U5" s="24" t="s">
        <v>14</v>
      </c>
      <c r="V5" s="24" t="s">
        <v>16</v>
      </c>
      <c r="W5" s="24" t="s">
        <v>14</v>
      </c>
      <c r="X5" s="24" t="s">
        <v>16</v>
      </c>
      <c r="Y5" s="24" t="s">
        <v>14</v>
      </c>
      <c r="Z5" s="24" t="s">
        <v>16</v>
      </c>
      <c r="AA5" s="24" t="s">
        <v>14</v>
      </c>
      <c r="AB5" s="24" t="s">
        <v>16</v>
      </c>
      <c r="AC5" s="24" t="s">
        <v>14</v>
      </c>
      <c r="AD5" s="24" t="s">
        <v>11</v>
      </c>
      <c r="AE5" s="24" t="s">
        <v>14</v>
      </c>
      <c r="AF5" s="24" t="s">
        <v>16</v>
      </c>
      <c r="AG5" s="24" t="s">
        <v>14</v>
      </c>
      <c r="AH5" s="24" t="s">
        <v>16</v>
      </c>
      <c r="AI5" s="24" t="s">
        <v>14</v>
      </c>
      <c r="AJ5" s="24" t="s">
        <v>16</v>
      </c>
      <c r="AK5" s="24" t="s">
        <v>14</v>
      </c>
      <c r="AL5" s="24" t="s">
        <v>16</v>
      </c>
      <c r="AM5" s="24" t="s">
        <v>14</v>
      </c>
      <c r="AN5" s="24" t="s">
        <v>16</v>
      </c>
      <c r="AO5" s="24" t="s">
        <v>14</v>
      </c>
      <c r="AP5" s="24" t="s">
        <v>16</v>
      </c>
      <c r="AQ5" s="24" t="s">
        <v>14</v>
      </c>
      <c r="AR5" s="24" t="s">
        <v>16</v>
      </c>
      <c r="AS5" s="24" t="s">
        <v>14</v>
      </c>
      <c r="AT5" s="24" t="s">
        <v>16</v>
      </c>
      <c r="AU5" s="24" t="s">
        <v>14</v>
      </c>
      <c r="AV5" s="64" t="s">
        <v>16</v>
      </c>
    </row>
    <row r="6" spans="1:48" s="3" customFormat="1" ht="72.599999999999994" customHeight="1">
      <c r="A6" s="103"/>
      <c r="B6" s="106"/>
      <c r="C6" s="109"/>
      <c r="D6" s="112"/>
      <c r="E6" s="43" t="s">
        <v>73</v>
      </c>
      <c r="F6" s="24">
        <v>1</v>
      </c>
      <c r="G6" s="44" t="s">
        <v>30</v>
      </c>
      <c r="H6" s="24">
        <v>1</v>
      </c>
      <c r="I6" s="44" t="s">
        <v>30</v>
      </c>
      <c r="J6" s="24">
        <v>1</v>
      </c>
      <c r="K6" s="43" t="s">
        <v>66</v>
      </c>
      <c r="L6" s="24">
        <v>1</v>
      </c>
      <c r="M6" s="37" t="s">
        <v>32</v>
      </c>
      <c r="N6" s="45">
        <v>1</v>
      </c>
      <c r="O6" s="37" t="s">
        <v>34</v>
      </c>
      <c r="P6" s="24">
        <v>1</v>
      </c>
      <c r="Q6" s="46" t="s">
        <v>65</v>
      </c>
      <c r="R6" s="24">
        <v>1</v>
      </c>
      <c r="S6" s="38" t="s">
        <v>62</v>
      </c>
      <c r="T6" s="24">
        <v>1</v>
      </c>
      <c r="U6" s="38" t="s">
        <v>60</v>
      </c>
      <c r="V6" s="24">
        <v>1</v>
      </c>
      <c r="W6" s="37" t="s">
        <v>30</v>
      </c>
      <c r="X6" s="24">
        <v>1</v>
      </c>
      <c r="Y6" s="37" t="s">
        <v>30</v>
      </c>
      <c r="Z6" s="24">
        <v>1</v>
      </c>
      <c r="AA6" s="38" t="s">
        <v>74</v>
      </c>
      <c r="AB6" s="24">
        <v>1</v>
      </c>
      <c r="AC6" s="38" t="s">
        <v>42</v>
      </c>
      <c r="AD6" s="24">
        <v>1</v>
      </c>
      <c r="AE6" s="38" t="s">
        <v>45</v>
      </c>
      <c r="AF6" s="24">
        <v>1</v>
      </c>
      <c r="AG6" s="37" t="s">
        <v>48</v>
      </c>
      <c r="AH6" s="24">
        <v>1</v>
      </c>
      <c r="AI6" s="37" t="s">
        <v>50</v>
      </c>
      <c r="AJ6" s="24">
        <v>1</v>
      </c>
      <c r="AK6" s="39" t="s">
        <v>52</v>
      </c>
      <c r="AL6" s="42">
        <v>1</v>
      </c>
      <c r="AM6" s="38" t="s">
        <v>76</v>
      </c>
      <c r="AN6" s="24">
        <v>1</v>
      </c>
      <c r="AO6" s="38" t="s">
        <v>76</v>
      </c>
      <c r="AP6" s="24">
        <v>1</v>
      </c>
      <c r="AQ6" s="43" t="s">
        <v>81</v>
      </c>
      <c r="AR6" s="42" t="s">
        <v>80</v>
      </c>
      <c r="AS6" s="43" t="s">
        <v>85</v>
      </c>
      <c r="AT6" s="42" t="s">
        <v>80</v>
      </c>
      <c r="AU6" s="25" t="s">
        <v>88</v>
      </c>
      <c r="AV6" s="65">
        <v>1</v>
      </c>
    </row>
    <row r="7" spans="1:48" s="3" customFormat="1" ht="79.150000000000006" customHeight="1">
      <c r="A7" s="103"/>
      <c r="B7" s="106"/>
      <c r="C7" s="109"/>
      <c r="D7" s="112"/>
      <c r="E7" s="43" t="s">
        <v>72</v>
      </c>
      <c r="F7" s="24">
        <v>0.8</v>
      </c>
      <c r="G7" s="47" t="s">
        <v>31</v>
      </c>
      <c r="H7" s="45">
        <v>0</v>
      </c>
      <c r="I7" s="39" t="s">
        <v>31</v>
      </c>
      <c r="J7" s="24">
        <v>0</v>
      </c>
      <c r="K7" s="43" t="s">
        <v>67</v>
      </c>
      <c r="L7" s="24">
        <v>0</v>
      </c>
      <c r="M7" s="37" t="s">
        <v>33</v>
      </c>
      <c r="N7" s="45">
        <v>0</v>
      </c>
      <c r="O7" s="37" t="s">
        <v>35</v>
      </c>
      <c r="P7" s="24">
        <v>0.8</v>
      </c>
      <c r="Q7" s="38" t="s">
        <v>56</v>
      </c>
      <c r="R7" s="24">
        <v>0</v>
      </c>
      <c r="S7" s="38" t="s">
        <v>63</v>
      </c>
      <c r="T7" s="24" t="s">
        <v>28</v>
      </c>
      <c r="U7" s="38" t="s">
        <v>61</v>
      </c>
      <c r="V7" s="24">
        <v>0</v>
      </c>
      <c r="W7" s="37" t="s">
        <v>38</v>
      </c>
      <c r="X7" s="24">
        <v>0</v>
      </c>
      <c r="Y7" s="37" t="s">
        <v>38</v>
      </c>
      <c r="Z7" s="24">
        <v>0</v>
      </c>
      <c r="AA7" s="38" t="s">
        <v>59</v>
      </c>
      <c r="AB7" s="24">
        <v>0</v>
      </c>
      <c r="AC7" s="38" t="s">
        <v>43</v>
      </c>
      <c r="AD7" s="24">
        <v>0</v>
      </c>
      <c r="AE7" s="38" t="s">
        <v>46</v>
      </c>
      <c r="AF7" s="24">
        <v>0</v>
      </c>
      <c r="AG7" s="38" t="s">
        <v>49</v>
      </c>
      <c r="AH7" s="24">
        <v>0</v>
      </c>
      <c r="AI7" s="37" t="s">
        <v>57</v>
      </c>
      <c r="AJ7" s="24">
        <v>1</v>
      </c>
      <c r="AK7" s="39" t="s">
        <v>53</v>
      </c>
      <c r="AL7" s="42">
        <v>0.8</v>
      </c>
      <c r="AM7" s="37" t="s">
        <v>77</v>
      </c>
      <c r="AN7" s="24">
        <v>0</v>
      </c>
      <c r="AO7" s="37" t="s">
        <v>77</v>
      </c>
      <c r="AP7" s="24">
        <v>0</v>
      </c>
      <c r="AQ7" s="95" t="s">
        <v>82</v>
      </c>
      <c r="AR7" s="96"/>
      <c r="AS7" s="99" t="s">
        <v>86</v>
      </c>
      <c r="AT7" s="100"/>
      <c r="AU7" s="25" t="s">
        <v>89</v>
      </c>
      <c r="AV7" s="63" t="s">
        <v>90</v>
      </c>
    </row>
    <row r="8" spans="1:48" s="3" customFormat="1" ht="63.6" customHeight="1">
      <c r="A8" s="103"/>
      <c r="B8" s="106"/>
      <c r="C8" s="109"/>
      <c r="D8" s="112"/>
      <c r="E8" s="43" t="s">
        <v>71</v>
      </c>
      <c r="F8" s="24">
        <v>0.6</v>
      </c>
      <c r="G8" s="48"/>
      <c r="H8" s="28"/>
      <c r="I8" s="29"/>
      <c r="J8" s="32"/>
      <c r="K8" s="36"/>
      <c r="L8" s="32"/>
      <c r="M8" s="37"/>
      <c r="N8" s="45"/>
      <c r="O8" s="37" t="s">
        <v>36</v>
      </c>
      <c r="P8" s="24">
        <v>0</v>
      </c>
      <c r="Q8" s="24"/>
      <c r="R8" s="24"/>
      <c r="S8" s="37" t="s">
        <v>64</v>
      </c>
      <c r="T8" s="24">
        <v>0</v>
      </c>
      <c r="U8" s="29"/>
      <c r="V8" s="32"/>
      <c r="W8" s="36"/>
      <c r="X8" s="32"/>
      <c r="Y8" s="36"/>
      <c r="Z8" s="32"/>
      <c r="AA8" s="24"/>
      <c r="AB8" s="24"/>
      <c r="AC8" s="36"/>
      <c r="AD8" s="33"/>
      <c r="AE8" s="32"/>
      <c r="AF8" s="32"/>
      <c r="AG8" s="24"/>
      <c r="AH8" s="24"/>
      <c r="AI8" s="77" t="s">
        <v>58</v>
      </c>
      <c r="AJ8" s="24">
        <v>0</v>
      </c>
      <c r="AK8" s="39" t="s">
        <v>54</v>
      </c>
      <c r="AL8" s="40">
        <v>0.5</v>
      </c>
      <c r="AM8" s="36"/>
      <c r="AN8" s="27"/>
      <c r="AO8" s="22"/>
      <c r="AP8" s="54"/>
      <c r="AQ8" s="95" t="s">
        <v>83</v>
      </c>
      <c r="AR8" s="96"/>
      <c r="AS8" s="95" t="s">
        <v>87</v>
      </c>
      <c r="AT8" s="101"/>
      <c r="AU8" s="25" t="s">
        <v>91</v>
      </c>
      <c r="AV8" s="63">
        <v>0</v>
      </c>
    </row>
    <row r="9" spans="1:48" s="3" customFormat="1" ht="26.25" customHeight="1">
      <c r="A9" s="103"/>
      <c r="B9" s="106"/>
      <c r="C9" s="109"/>
      <c r="D9" s="112"/>
      <c r="E9" s="43" t="s">
        <v>70</v>
      </c>
      <c r="F9" s="24">
        <v>0.4</v>
      </c>
      <c r="G9" s="48"/>
      <c r="H9" s="28"/>
      <c r="I9" s="36"/>
      <c r="J9" s="32"/>
      <c r="K9" s="36"/>
      <c r="L9" s="32"/>
      <c r="M9" s="37"/>
      <c r="N9" s="45"/>
      <c r="O9" s="37"/>
      <c r="P9" s="24"/>
      <c r="Q9" s="24"/>
      <c r="R9" s="24"/>
      <c r="S9" s="24"/>
      <c r="T9" s="45"/>
      <c r="U9" s="29"/>
      <c r="V9" s="24"/>
      <c r="W9" s="29"/>
      <c r="X9" s="32"/>
      <c r="Y9" s="36"/>
      <c r="Z9" s="33"/>
      <c r="AA9" s="24"/>
      <c r="AB9" s="24"/>
      <c r="AC9" s="36"/>
      <c r="AD9" s="32"/>
      <c r="AE9" s="32"/>
      <c r="AF9" s="32"/>
      <c r="AG9" s="24"/>
      <c r="AH9" s="24"/>
      <c r="AI9" s="24"/>
      <c r="AJ9" s="24"/>
      <c r="AK9" s="39" t="s">
        <v>55</v>
      </c>
      <c r="AL9" s="40">
        <v>0.2</v>
      </c>
      <c r="AM9" s="36"/>
      <c r="AN9" s="27"/>
      <c r="AO9" s="22"/>
      <c r="AP9" s="54"/>
      <c r="AQ9" s="57"/>
      <c r="AR9" s="57"/>
      <c r="AS9" s="57"/>
      <c r="AT9" s="57"/>
      <c r="AU9" s="20"/>
      <c r="AV9" s="63"/>
    </row>
    <row r="10" spans="1:48" s="3" customFormat="1" ht="22.7" customHeight="1">
      <c r="A10" s="103"/>
      <c r="B10" s="106"/>
      <c r="C10" s="109"/>
      <c r="D10" s="112"/>
      <c r="E10" s="43" t="s">
        <v>69</v>
      </c>
      <c r="F10" s="24">
        <v>0.2</v>
      </c>
      <c r="G10" s="29"/>
      <c r="H10" s="28"/>
      <c r="I10" s="32"/>
      <c r="J10" s="32"/>
      <c r="K10" s="36"/>
      <c r="L10" s="32"/>
      <c r="M10" s="36"/>
      <c r="N10" s="32"/>
      <c r="O10" s="26"/>
      <c r="P10" s="24"/>
      <c r="Q10" s="24"/>
      <c r="R10" s="24"/>
      <c r="S10" s="24"/>
      <c r="T10" s="45"/>
      <c r="U10" s="29"/>
      <c r="V10" s="24"/>
      <c r="W10" s="29"/>
      <c r="X10" s="28"/>
      <c r="Y10" s="36"/>
      <c r="Z10" s="33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39" t="s">
        <v>56</v>
      </c>
      <c r="AL10" s="40">
        <v>0</v>
      </c>
      <c r="AM10" s="36"/>
      <c r="AN10" s="27"/>
      <c r="AO10" s="22"/>
      <c r="AP10" s="55"/>
      <c r="AQ10" s="58"/>
      <c r="AR10" s="58"/>
      <c r="AS10" s="58"/>
      <c r="AT10" s="58"/>
      <c r="AU10" s="59"/>
      <c r="AV10" s="60"/>
    </row>
    <row r="11" spans="1:48" s="3" customFormat="1" ht="26.25" customHeight="1" thickBot="1">
      <c r="A11" s="104"/>
      <c r="B11" s="107"/>
      <c r="C11" s="110"/>
      <c r="D11" s="113"/>
      <c r="E11" s="49" t="s">
        <v>68</v>
      </c>
      <c r="F11" s="35">
        <v>0</v>
      </c>
      <c r="G11" s="30"/>
      <c r="H11" s="31"/>
      <c r="I11" s="50"/>
      <c r="J11" s="50"/>
      <c r="K11" s="51"/>
      <c r="L11" s="50"/>
      <c r="M11" s="51"/>
      <c r="N11" s="50"/>
      <c r="O11" s="35"/>
      <c r="P11" s="35"/>
      <c r="Q11" s="35"/>
      <c r="R11" s="35"/>
      <c r="S11" s="35"/>
      <c r="T11" s="52"/>
      <c r="U11" s="30"/>
      <c r="V11" s="35"/>
      <c r="W11" s="30"/>
      <c r="X11" s="31"/>
      <c r="Y11" s="51"/>
      <c r="Z11" s="34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41"/>
      <c r="AM11" s="51"/>
      <c r="AN11" s="53"/>
      <c r="AO11" s="23"/>
      <c r="AP11" s="56"/>
      <c r="AQ11" s="56"/>
      <c r="AR11" s="56"/>
      <c r="AS11" s="56"/>
      <c r="AT11" s="56"/>
      <c r="AU11" s="61"/>
      <c r="AV11" s="62"/>
    </row>
    <row r="12" spans="1:48" s="1" customFormat="1" ht="34.700000000000003" customHeight="1">
      <c r="A12" s="18">
        <v>1</v>
      </c>
      <c r="B12" s="19" t="s">
        <v>13</v>
      </c>
      <c r="C12" s="86">
        <f>D12/17</f>
        <v>0.87623529411764711</v>
      </c>
      <c r="D12" s="66">
        <f>F12+H12+J12+L12+N12+P12+R12+T12+V12+X12+Z12+AB12+AD12+AF12+AH12+AJ12+AL12+AN12+AP12+AR12+AT12+AV12</f>
        <v>14.896000000000001</v>
      </c>
      <c r="E12" s="11">
        <v>0</v>
      </c>
      <c r="F12" s="11">
        <v>1</v>
      </c>
      <c r="G12" s="14" t="s">
        <v>94</v>
      </c>
      <c r="H12" s="11"/>
      <c r="I12" s="83" t="s">
        <v>30</v>
      </c>
      <c r="J12" s="11">
        <v>1</v>
      </c>
      <c r="K12" s="69">
        <f>100*1391.6/30230.9</f>
        <v>4.6032370852339826</v>
      </c>
      <c r="L12" s="11">
        <v>1</v>
      </c>
      <c r="M12" s="72">
        <v>5</v>
      </c>
      <c r="N12" s="11">
        <v>0</v>
      </c>
      <c r="O12" s="12" t="s">
        <v>94</v>
      </c>
      <c r="P12" s="11"/>
      <c r="Q12" s="71">
        <f>100*(30230.9-30148.7)/30148.7</f>
        <v>0.27264857191189246</v>
      </c>
      <c r="R12" s="11">
        <v>1</v>
      </c>
      <c r="S12" s="71">
        <f>(10278.7-6623.3)*100/6623.3</f>
        <v>55.190011021696144</v>
      </c>
      <c r="T12" s="69">
        <f>1-(55.2-50)/50</f>
        <v>0.89599999999999991</v>
      </c>
      <c r="U12" s="11">
        <v>0.02</v>
      </c>
      <c r="V12" s="11">
        <v>1</v>
      </c>
      <c r="W12" s="76" t="s">
        <v>30</v>
      </c>
      <c r="X12" s="11">
        <v>1</v>
      </c>
      <c r="Y12" s="11" t="s">
        <v>94</v>
      </c>
      <c r="Z12" s="11"/>
      <c r="AA12" s="14" t="s">
        <v>94</v>
      </c>
      <c r="AB12" s="11"/>
      <c r="AC12" s="76" t="s">
        <v>42</v>
      </c>
      <c r="AD12" s="76">
        <v>1</v>
      </c>
      <c r="AE12" s="76" t="s">
        <v>45</v>
      </c>
      <c r="AF12" s="11">
        <v>1</v>
      </c>
      <c r="AG12" s="76" t="s">
        <v>132</v>
      </c>
      <c r="AH12" s="11">
        <v>0</v>
      </c>
      <c r="AI12" s="76" t="s">
        <v>50</v>
      </c>
      <c r="AJ12" s="11">
        <v>1</v>
      </c>
      <c r="AK12" s="14" t="s">
        <v>100</v>
      </c>
      <c r="AL12" s="11">
        <v>1</v>
      </c>
      <c r="AM12" s="67" t="s">
        <v>97</v>
      </c>
      <c r="AN12" s="9">
        <v>1</v>
      </c>
      <c r="AO12" s="15" t="s">
        <v>94</v>
      </c>
      <c r="AP12" s="84"/>
      <c r="AQ12" s="68" t="s">
        <v>111</v>
      </c>
      <c r="AR12" s="74">
        <v>1</v>
      </c>
      <c r="AS12" s="9" t="s">
        <v>111</v>
      </c>
      <c r="AT12" s="9">
        <v>1</v>
      </c>
      <c r="AU12" s="78">
        <v>-32.9</v>
      </c>
      <c r="AV12" s="18">
        <v>1</v>
      </c>
    </row>
    <row r="13" spans="1:48" s="1" customFormat="1" ht="30.75" customHeight="1">
      <c r="A13" s="15">
        <v>2</v>
      </c>
      <c r="B13" s="17" t="s">
        <v>9</v>
      </c>
      <c r="C13" s="87">
        <f>D13/19</f>
        <v>0.69203832841100454</v>
      </c>
      <c r="D13" s="66">
        <f t="shared" ref="D13:D22" si="0">F13+H13+J13+L13+N13+P13+R13+T13+V13+X13+Z13+AB13+AD13+AF13+AH13+AJ13+AL13+AN13+AP13+AR13+AT13+AV13</f>
        <v>13.148728239809087</v>
      </c>
      <c r="E13" s="78">
        <v>0</v>
      </c>
      <c r="F13" s="78">
        <v>1</v>
      </c>
      <c r="G13" s="7" t="s">
        <v>94</v>
      </c>
      <c r="H13" s="78"/>
      <c r="I13" s="83" t="s">
        <v>30</v>
      </c>
      <c r="J13" s="78">
        <v>1</v>
      </c>
      <c r="K13" s="69">
        <f>100*17911.3/834809.7</f>
        <v>2.1455548492069512</v>
      </c>
      <c r="L13" s="78">
        <v>1</v>
      </c>
      <c r="M13" s="73">
        <v>7</v>
      </c>
      <c r="N13" s="78">
        <v>0</v>
      </c>
      <c r="O13" s="76" t="s">
        <v>35</v>
      </c>
      <c r="P13" s="78">
        <v>0.8</v>
      </c>
      <c r="Q13" s="71">
        <f>100*(834809.7-795213)/795213</f>
        <v>4.9793828823220894</v>
      </c>
      <c r="R13" s="78">
        <v>1</v>
      </c>
      <c r="S13" s="71">
        <f>(173842.9-106938.4)*100/106938.4</f>
        <v>62.563588009545683</v>
      </c>
      <c r="T13" s="69">
        <f>1-(S13-50)/50</f>
        <v>0.74872823980908643</v>
      </c>
      <c r="U13" s="78">
        <v>1.3</v>
      </c>
      <c r="V13" s="78">
        <v>1</v>
      </c>
      <c r="W13" s="76" t="s">
        <v>30</v>
      </c>
      <c r="X13" s="78">
        <v>1</v>
      </c>
      <c r="Y13" s="78" t="s">
        <v>94</v>
      </c>
      <c r="Z13" s="78"/>
      <c r="AA13" s="7" t="s">
        <v>94</v>
      </c>
      <c r="AB13" s="78"/>
      <c r="AC13" s="76" t="s">
        <v>42</v>
      </c>
      <c r="AD13" s="76">
        <v>1</v>
      </c>
      <c r="AE13" s="76" t="s">
        <v>125</v>
      </c>
      <c r="AF13" s="78">
        <v>0</v>
      </c>
      <c r="AG13" s="76" t="s">
        <v>132</v>
      </c>
      <c r="AH13" s="78">
        <v>0</v>
      </c>
      <c r="AI13" s="78" t="s">
        <v>127</v>
      </c>
      <c r="AJ13" s="78">
        <v>0</v>
      </c>
      <c r="AK13" s="78" t="s">
        <v>101</v>
      </c>
      <c r="AL13" s="9">
        <v>0.2</v>
      </c>
      <c r="AM13" s="67" t="s">
        <v>97</v>
      </c>
      <c r="AN13" s="9">
        <v>1</v>
      </c>
      <c r="AO13" s="67" t="s">
        <v>97</v>
      </c>
      <c r="AP13" s="9">
        <v>1</v>
      </c>
      <c r="AQ13" s="15" t="s">
        <v>116</v>
      </c>
      <c r="AR13" s="9">
        <v>0.4</v>
      </c>
      <c r="AS13" s="9" t="s">
        <v>117</v>
      </c>
      <c r="AT13" s="9">
        <v>1</v>
      </c>
      <c r="AU13" s="78">
        <v>1.86</v>
      </c>
      <c r="AV13" s="79">
        <v>1</v>
      </c>
    </row>
    <row r="14" spans="1:48" s="1" customFormat="1" ht="36.6" customHeight="1">
      <c r="A14" s="15">
        <v>3</v>
      </c>
      <c r="B14" s="16" t="s">
        <v>0</v>
      </c>
      <c r="C14" s="87">
        <f>D14/17</f>
        <v>0.87058823529411766</v>
      </c>
      <c r="D14" s="66">
        <f t="shared" si="0"/>
        <v>14.8</v>
      </c>
      <c r="E14" s="78">
        <v>0</v>
      </c>
      <c r="F14" s="78">
        <v>1</v>
      </c>
      <c r="G14" s="7" t="s">
        <v>94</v>
      </c>
      <c r="H14" s="78"/>
      <c r="I14" s="83" t="s">
        <v>30</v>
      </c>
      <c r="J14" s="78">
        <v>1</v>
      </c>
      <c r="K14" s="69">
        <f>100*196.8/7821.5</f>
        <v>2.5161414051013233</v>
      </c>
      <c r="L14" s="78">
        <v>1</v>
      </c>
      <c r="M14" s="73">
        <v>4</v>
      </c>
      <c r="N14" s="78">
        <v>0</v>
      </c>
      <c r="O14" s="8" t="s">
        <v>94</v>
      </c>
      <c r="P14" s="78"/>
      <c r="Q14" s="71">
        <f>100*(7821.5-7790.1)/7790.1</f>
        <v>0.40307569864314496</v>
      </c>
      <c r="R14" s="78">
        <v>1</v>
      </c>
      <c r="S14" s="71">
        <f>(3059.1-1577)*100/3059.1</f>
        <v>48.448890196463012</v>
      </c>
      <c r="T14" s="72">
        <v>1</v>
      </c>
      <c r="U14" s="78">
        <v>0</v>
      </c>
      <c r="V14" s="78">
        <v>1</v>
      </c>
      <c r="W14" s="76" t="s">
        <v>30</v>
      </c>
      <c r="X14" s="78">
        <v>1</v>
      </c>
      <c r="Y14" s="78" t="s">
        <v>94</v>
      </c>
      <c r="Z14" s="78"/>
      <c r="AA14" s="7" t="s">
        <v>94</v>
      </c>
      <c r="AB14" s="78"/>
      <c r="AC14" s="76" t="s">
        <v>42</v>
      </c>
      <c r="AD14" s="76">
        <v>1</v>
      </c>
      <c r="AE14" s="76" t="s">
        <v>45</v>
      </c>
      <c r="AF14" s="11">
        <v>1</v>
      </c>
      <c r="AG14" s="76" t="s">
        <v>133</v>
      </c>
      <c r="AH14" s="78">
        <v>1</v>
      </c>
      <c r="AI14" s="76" t="s">
        <v>50</v>
      </c>
      <c r="AJ14" s="78">
        <v>1</v>
      </c>
      <c r="AK14" s="78" t="s">
        <v>102</v>
      </c>
      <c r="AL14" s="9">
        <v>0.8</v>
      </c>
      <c r="AM14" s="67" t="s">
        <v>97</v>
      </c>
      <c r="AN14" s="9">
        <v>1</v>
      </c>
      <c r="AO14" s="15" t="s">
        <v>94</v>
      </c>
      <c r="AP14" s="85"/>
      <c r="AQ14" s="15" t="s">
        <v>98</v>
      </c>
      <c r="AR14" s="9">
        <v>0</v>
      </c>
      <c r="AS14" s="9" t="s">
        <v>99</v>
      </c>
      <c r="AT14" s="9">
        <v>1</v>
      </c>
      <c r="AU14" s="78">
        <v>-1.4</v>
      </c>
      <c r="AV14" s="18">
        <v>1</v>
      </c>
    </row>
    <row r="15" spans="1:48" s="1" customFormat="1" ht="33.4" customHeight="1">
      <c r="A15" s="15">
        <v>4</v>
      </c>
      <c r="B15" s="16" t="s">
        <v>1</v>
      </c>
      <c r="C15" s="87">
        <f>D15/18</f>
        <v>0.91666666666666663</v>
      </c>
      <c r="D15" s="66">
        <f t="shared" si="0"/>
        <v>16.5</v>
      </c>
      <c r="E15" s="78">
        <v>0</v>
      </c>
      <c r="F15" s="78">
        <v>1</v>
      </c>
      <c r="G15" s="7" t="s">
        <v>94</v>
      </c>
      <c r="H15" s="78"/>
      <c r="I15" s="83" t="s">
        <v>30</v>
      </c>
      <c r="J15" s="78">
        <v>1</v>
      </c>
      <c r="K15" s="69">
        <f>100*180.6/33624.8</f>
        <v>0.53710356641526491</v>
      </c>
      <c r="L15" s="78">
        <v>1</v>
      </c>
      <c r="M15" s="73">
        <v>3</v>
      </c>
      <c r="N15" s="78">
        <v>1</v>
      </c>
      <c r="O15" s="76" t="s">
        <v>34</v>
      </c>
      <c r="P15" s="78">
        <v>1</v>
      </c>
      <c r="Q15" s="71">
        <f>100*(33624.8-33606.8)/33606.8</f>
        <v>5.3560588928431144E-2</v>
      </c>
      <c r="R15" s="78">
        <v>1</v>
      </c>
      <c r="S15" s="71">
        <f>(10098.8-7836)*100/7836</f>
        <v>28.876978050025517</v>
      </c>
      <c r="T15" s="73">
        <v>1</v>
      </c>
      <c r="U15" s="78">
        <v>0.04</v>
      </c>
      <c r="V15" s="78">
        <v>1</v>
      </c>
      <c r="W15" s="76" t="s">
        <v>30</v>
      </c>
      <c r="X15" s="78">
        <v>1</v>
      </c>
      <c r="Y15" s="78" t="s">
        <v>94</v>
      </c>
      <c r="Z15" s="78"/>
      <c r="AA15" s="7" t="s">
        <v>94</v>
      </c>
      <c r="AB15" s="78"/>
      <c r="AC15" s="76" t="s">
        <v>42</v>
      </c>
      <c r="AD15" s="76">
        <v>1</v>
      </c>
      <c r="AE15" s="76" t="s">
        <v>45</v>
      </c>
      <c r="AF15" s="11">
        <v>1</v>
      </c>
      <c r="AG15" s="76" t="s">
        <v>134</v>
      </c>
      <c r="AH15" s="78">
        <v>1</v>
      </c>
      <c r="AI15" s="76" t="s">
        <v>50</v>
      </c>
      <c r="AJ15" s="78">
        <v>1</v>
      </c>
      <c r="AK15" s="78" t="s">
        <v>103</v>
      </c>
      <c r="AL15" s="9">
        <v>1</v>
      </c>
      <c r="AM15" s="67" t="s">
        <v>97</v>
      </c>
      <c r="AN15" s="9">
        <v>1</v>
      </c>
      <c r="AO15" s="15" t="s">
        <v>94</v>
      </c>
      <c r="AP15" s="85"/>
      <c r="AQ15" s="15" t="s">
        <v>95</v>
      </c>
      <c r="AR15" s="9">
        <v>0.5</v>
      </c>
      <c r="AS15" s="9" t="s">
        <v>96</v>
      </c>
      <c r="AT15" s="9">
        <v>1</v>
      </c>
      <c r="AU15" s="78">
        <v>65.5</v>
      </c>
      <c r="AV15" s="18">
        <v>0</v>
      </c>
    </row>
    <row r="16" spans="1:48" s="1" customFormat="1" ht="32.1" customHeight="1">
      <c r="A16" s="15">
        <v>5</v>
      </c>
      <c r="B16" s="17" t="s">
        <v>8</v>
      </c>
      <c r="C16" s="87">
        <f t="shared" ref="C16:C21" si="1">D16/22</f>
        <v>0.80909090909090908</v>
      </c>
      <c r="D16" s="66">
        <f t="shared" si="0"/>
        <v>17.8</v>
      </c>
      <c r="E16" s="78">
        <v>0</v>
      </c>
      <c r="F16" s="78">
        <v>1</v>
      </c>
      <c r="G16" s="83" t="s">
        <v>30</v>
      </c>
      <c r="H16" s="78">
        <v>1</v>
      </c>
      <c r="I16" s="83" t="s">
        <v>30</v>
      </c>
      <c r="J16" s="78">
        <v>1</v>
      </c>
      <c r="K16" s="69">
        <f>100*907.5/120243.6</f>
        <v>0.75471792261708726</v>
      </c>
      <c r="L16" s="78">
        <v>1</v>
      </c>
      <c r="M16" s="73">
        <v>6</v>
      </c>
      <c r="N16" s="78">
        <v>0</v>
      </c>
      <c r="O16" s="76" t="s">
        <v>34</v>
      </c>
      <c r="P16" s="78">
        <v>1</v>
      </c>
      <c r="Q16" s="71">
        <f>100*(120243.6-119577)/119577</f>
        <v>0.55746506435184506</v>
      </c>
      <c r="R16" s="10">
        <v>1</v>
      </c>
      <c r="S16" s="71">
        <f>(7860.8-13941.8)*100/13941.8</f>
        <v>-43.617036537606332</v>
      </c>
      <c r="T16" s="73">
        <v>1</v>
      </c>
      <c r="U16" s="78">
        <v>0.01</v>
      </c>
      <c r="V16" s="78">
        <v>1</v>
      </c>
      <c r="W16" s="76" t="s">
        <v>30</v>
      </c>
      <c r="X16" s="78">
        <v>1</v>
      </c>
      <c r="Y16" s="76" t="s">
        <v>30</v>
      </c>
      <c r="Z16" s="78">
        <v>1</v>
      </c>
      <c r="AA16" s="70">
        <f>100*3/3</f>
        <v>100</v>
      </c>
      <c r="AB16" s="78">
        <v>1</v>
      </c>
      <c r="AC16" s="76" t="s">
        <v>42</v>
      </c>
      <c r="AD16" s="76">
        <v>1</v>
      </c>
      <c r="AE16" s="76" t="s">
        <v>125</v>
      </c>
      <c r="AF16" s="78">
        <v>0</v>
      </c>
      <c r="AG16" s="76" t="s">
        <v>134</v>
      </c>
      <c r="AH16" s="78">
        <v>1</v>
      </c>
      <c r="AI16" s="76" t="s">
        <v>50</v>
      </c>
      <c r="AJ16" s="78">
        <v>1</v>
      </c>
      <c r="AK16" s="78" t="s">
        <v>104</v>
      </c>
      <c r="AL16" s="9">
        <v>0.5</v>
      </c>
      <c r="AM16" s="67" t="s">
        <v>97</v>
      </c>
      <c r="AN16" s="9">
        <v>1</v>
      </c>
      <c r="AO16" s="67" t="s">
        <v>97</v>
      </c>
      <c r="AP16" s="9">
        <v>1</v>
      </c>
      <c r="AQ16" s="15" t="s">
        <v>120</v>
      </c>
      <c r="AR16" s="9">
        <v>0.3</v>
      </c>
      <c r="AS16" s="9" t="s">
        <v>121</v>
      </c>
      <c r="AT16" s="9">
        <v>1</v>
      </c>
      <c r="AU16" s="78">
        <v>32.6</v>
      </c>
      <c r="AV16" s="18">
        <v>0</v>
      </c>
    </row>
    <row r="17" spans="1:48" s="1" customFormat="1" ht="33.4" customHeight="1">
      <c r="A17" s="15">
        <v>6</v>
      </c>
      <c r="B17" s="16" t="s">
        <v>3</v>
      </c>
      <c r="C17" s="87">
        <f t="shared" si="1"/>
        <v>0.79090909090909089</v>
      </c>
      <c r="D17" s="66">
        <f t="shared" si="0"/>
        <v>17.399999999999999</v>
      </c>
      <c r="E17" s="78">
        <v>0</v>
      </c>
      <c r="F17" s="78">
        <v>1</v>
      </c>
      <c r="G17" s="83" t="s">
        <v>30</v>
      </c>
      <c r="H17" s="78">
        <v>1</v>
      </c>
      <c r="I17" s="83" t="s">
        <v>30</v>
      </c>
      <c r="J17" s="78">
        <v>1</v>
      </c>
      <c r="K17" s="69">
        <f>100*527.8/289995</f>
        <v>0.18200313798513765</v>
      </c>
      <c r="L17" s="78">
        <v>1</v>
      </c>
      <c r="M17" s="73">
        <v>4</v>
      </c>
      <c r="N17" s="78">
        <v>0</v>
      </c>
      <c r="O17" s="76" t="s">
        <v>34</v>
      </c>
      <c r="P17" s="78">
        <v>1</v>
      </c>
      <c r="Q17" s="71">
        <f>100*(289995-289929.5)/289929.5</f>
        <v>2.2591699016485042E-2</v>
      </c>
      <c r="R17" s="10">
        <v>1</v>
      </c>
      <c r="S17" s="71">
        <f>(52287.1-49773)*100/49773</f>
        <v>5.0511321399152118</v>
      </c>
      <c r="T17" s="73">
        <v>1</v>
      </c>
      <c r="U17" s="78">
        <v>0.01</v>
      </c>
      <c r="V17" s="78">
        <v>1</v>
      </c>
      <c r="W17" s="76" t="s">
        <v>30</v>
      </c>
      <c r="X17" s="78">
        <v>1</v>
      </c>
      <c r="Y17" s="76" t="s">
        <v>30</v>
      </c>
      <c r="Z17" s="78">
        <v>1</v>
      </c>
      <c r="AA17" s="70">
        <f>100*12/12</f>
        <v>100</v>
      </c>
      <c r="AB17" s="78">
        <v>1</v>
      </c>
      <c r="AC17" s="76" t="s">
        <v>42</v>
      </c>
      <c r="AD17" s="76">
        <v>1</v>
      </c>
      <c r="AE17" s="76" t="s">
        <v>125</v>
      </c>
      <c r="AF17" s="78">
        <v>0</v>
      </c>
      <c r="AG17" s="76" t="s">
        <v>134</v>
      </c>
      <c r="AH17" s="78">
        <v>1</v>
      </c>
      <c r="AI17" s="78" t="s">
        <v>126</v>
      </c>
      <c r="AJ17" s="78">
        <v>0</v>
      </c>
      <c r="AK17" s="78" t="s">
        <v>105</v>
      </c>
      <c r="AL17" s="9">
        <v>0.5</v>
      </c>
      <c r="AM17" s="67" t="s">
        <v>97</v>
      </c>
      <c r="AN17" s="9">
        <v>1</v>
      </c>
      <c r="AO17" s="67" t="s">
        <v>97</v>
      </c>
      <c r="AP17" s="9">
        <v>1</v>
      </c>
      <c r="AQ17" s="15" t="s">
        <v>118</v>
      </c>
      <c r="AR17" s="9">
        <v>0</v>
      </c>
      <c r="AS17" s="9" t="s">
        <v>119</v>
      </c>
      <c r="AT17" s="9">
        <v>0.9</v>
      </c>
      <c r="AU17" s="78">
        <v>-29.1</v>
      </c>
      <c r="AV17" s="18">
        <v>1</v>
      </c>
    </row>
    <row r="18" spans="1:48" s="1" customFormat="1" ht="30.2" customHeight="1">
      <c r="A18" s="15">
        <v>7</v>
      </c>
      <c r="B18" s="16" t="s">
        <v>2</v>
      </c>
      <c r="C18" s="87">
        <f t="shared" si="1"/>
        <v>0.84090909090909094</v>
      </c>
      <c r="D18" s="66">
        <f t="shared" si="0"/>
        <v>18.5</v>
      </c>
      <c r="E18" s="78">
        <v>0</v>
      </c>
      <c r="F18" s="78">
        <v>1</v>
      </c>
      <c r="G18" s="83" t="s">
        <v>30</v>
      </c>
      <c r="H18" s="78">
        <v>1</v>
      </c>
      <c r="I18" s="83" t="s">
        <v>30</v>
      </c>
      <c r="J18" s="78">
        <v>1</v>
      </c>
      <c r="K18" s="69">
        <f>100*8799.7/1726868.7</f>
        <v>0.50957551086541797</v>
      </c>
      <c r="L18" s="78">
        <v>1</v>
      </c>
      <c r="M18" s="73">
        <v>7</v>
      </c>
      <c r="N18" s="78">
        <v>0</v>
      </c>
      <c r="O18" s="76" t="s">
        <v>34</v>
      </c>
      <c r="P18" s="78">
        <v>1</v>
      </c>
      <c r="Q18" s="71">
        <f>100*(1726868.7-1722719.5)/1722719.5</f>
        <v>0.2408517463231799</v>
      </c>
      <c r="R18" s="10">
        <v>1</v>
      </c>
      <c r="S18" s="71">
        <f>(210472.2-141834.4)*100/141834.4</f>
        <v>48.392914553874114</v>
      </c>
      <c r="T18" s="73">
        <v>1</v>
      </c>
      <c r="U18" s="78">
        <v>0.06</v>
      </c>
      <c r="V18" s="78">
        <v>1</v>
      </c>
      <c r="W18" s="76" t="s">
        <v>30</v>
      </c>
      <c r="X18" s="78">
        <v>1</v>
      </c>
      <c r="Y18" s="76" t="s">
        <v>30</v>
      </c>
      <c r="Z18" s="78">
        <v>1</v>
      </c>
      <c r="AA18" s="70">
        <v>100</v>
      </c>
      <c r="AB18" s="78">
        <v>1</v>
      </c>
      <c r="AC18" s="76" t="s">
        <v>42</v>
      </c>
      <c r="AD18" s="76">
        <v>1</v>
      </c>
      <c r="AE18" s="76" t="s">
        <v>45</v>
      </c>
      <c r="AF18" s="11">
        <v>1</v>
      </c>
      <c r="AG18" s="76" t="s">
        <v>134</v>
      </c>
      <c r="AH18" s="78">
        <v>1</v>
      </c>
      <c r="AI18" s="78" t="s">
        <v>128</v>
      </c>
      <c r="AJ18" s="78">
        <v>0</v>
      </c>
      <c r="AK18" s="78" t="s">
        <v>106</v>
      </c>
      <c r="AL18" s="9">
        <v>0.5</v>
      </c>
      <c r="AM18" s="67" t="s">
        <v>97</v>
      </c>
      <c r="AN18" s="9">
        <v>1</v>
      </c>
      <c r="AO18" s="67" t="s">
        <v>97</v>
      </c>
      <c r="AP18" s="9">
        <v>1</v>
      </c>
      <c r="AQ18" s="15" t="s">
        <v>122</v>
      </c>
      <c r="AR18" s="9">
        <v>0</v>
      </c>
      <c r="AS18" s="9" t="s">
        <v>123</v>
      </c>
      <c r="AT18" s="9">
        <v>1</v>
      </c>
      <c r="AU18" s="78">
        <v>-0.97</v>
      </c>
      <c r="AV18" s="18">
        <v>1</v>
      </c>
    </row>
    <row r="19" spans="1:48" s="1" customFormat="1" ht="31.5" customHeight="1">
      <c r="A19" s="15">
        <v>8</v>
      </c>
      <c r="B19" s="17" t="s">
        <v>7</v>
      </c>
      <c r="C19" s="87">
        <f t="shared" si="1"/>
        <v>0.95</v>
      </c>
      <c r="D19" s="66">
        <f t="shared" si="0"/>
        <v>20.9</v>
      </c>
      <c r="E19" s="78">
        <v>0</v>
      </c>
      <c r="F19" s="78">
        <v>1</v>
      </c>
      <c r="G19" s="83" t="s">
        <v>30</v>
      </c>
      <c r="H19" s="78">
        <v>1</v>
      </c>
      <c r="I19" s="83" t="s">
        <v>30</v>
      </c>
      <c r="J19" s="78">
        <v>1</v>
      </c>
      <c r="K19" s="69">
        <f>100*624/931124</f>
        <v>6.70157787791959E-2</v>
      </c>
      <c r="L19" s="78">
        <v>1</v>
      </c>
      <c r="M19" s="73">
        <v>3</v>
      </c>
      <c r="N19" s="78">
        <v>1</v>
      </c>
      <c r="O19" s="76" t="s">
        <v>34</v>
      </c>
      <c r="P19" s="78">
        <v>1</v>
      </c>
      <c r="Q19" s="71">
        <f>100*(931124-919469.9)/919469.9</f>
        <v>1.2674803166476658</v>
      </c>
      <c r="R19" s="10">
        <v>1</v>
      </c>
      <c r="S19" s="71">
        <f>(7865.8-7025.6)*100/7025.6</f>
        <v>11.959120929173306</v>
      </c>
      <c r="T19" s="73">
        <v>1</v>
      </c>
      <c r="U19" s="78">
        <v>0</v>
      </c>
      <c r="V19" s="78">
        <v>1</v>
      </c>
      <c r="W19" s="76" t="s">
        <v>30</v>
      </c>
      <c r="X19" s="78">
        <v>1</v>
      </c>
      <c r="Y19" s="76" t="s">
        <v>30</v>
      </c>
      <c r="Z19" s="78">
        <v>1</v>
      </c>
      <c r="AA19" s="70">
        <f>100*1/1</f>
        <v>100</v>
      </c>
      <c r="AB19" s="78">
        <v>1</v>
      </c>
      <c r="AC19" s="76" t="s">
        <v>42</v>
      </c>
      <c r="AD19" s="76">
        <v>1</v>
      </c>
      <c r="AE19" s="76" t="s">
        <v>45</v>
      </c>
      <c r="AF19" s="11">
        <v>1</v>
      </c>
      <c r="AG19" s="76" t="s">
        <v>133</v>
      </c>
      <c r="AH19" s="78">
        <v>1</v>
      </c>
      <c r="AI19" s="76" t="s">
        <v>50</v>
      </c>
      <c r="AJ19" s="78">
        <v>1</v>
      </c>
      <c r="AK19" s="78" t="s">
        <v>107</v>
      </c>
      <c r="AL19" s="9">
        <v>0.5</v>
      </c>
      <c r="AM19" s="67" t="s">
        <v>97</v>
      </c>
      <c r="AN19" s="9">
        <v>1</v>
      </c>
      <c r="AO19" s="67" t="s">
        <v>97</v>
      </c>
      <c r="AP19" s="9">
        <v>1</v>
      </c>
      <c r="AQ19" s="15" t="s">
        <v>114</v>
      </c>
      <c r="AR19" s="9">
        <v>0.4</v>
      </c>
      <c r="AS19" s="9" t="s">
        <v>115</v>
      </c>
      <c r="AT19" s="9">
        <v>1</v>
      </c>
      <c r="AU19" s="78">
        <v>-0.19</v>
      </c>
      <c r="AV19" s="18">
        <v>1</v>
      </c>
    </row>
    <row r="20" spans="1:48" s="1" customFormat="1" ht="30.75" customHeight="1">
      <c r="A20" s="15">
        <v>9</v>
      </c>
      <c r="B20" s="17" t="s">
        <v>5</v>
      </c>
      <c r="C20" s="87">
        <f t="shared" si="1"/>
        <v>0.82170134149995</v>
      </c>
      <c r="D20" s="66">
        <f t="shared" si="0"/>
        <v>18.077429512998901</v>
      </c>
      <c r="E20" s="78">
        <v>0</v>
      </c>
      <c r="F20" s="78">
        <v>1</v>
      </c>
      <c r="G20" s="83" t="s">
        <v>30</v>
      </c>
      <c r="H20" s="78">
        <v>1</v>
      </c>
      <c r="I20" s="83" t="s">
        <v>30</v>
      </c>
      <c r="J20" s="78">
        <v>1</v>
      </c>
      <c r="K20" s="69">
        <f>100*669.5/72041.8</f>
        <v>0.92932158830012568</v>
      </c>
      <c r="L20" s="78">
        <v>1</v>
      </c>
      <c r="M20" s="73">
        <v>5</v>
      </c>
      <c r="N20" s="78">
        <v>0</v>
      </c>
      <c r="O20" s="88" t="s">
        <v>34</v>
      </c>
      <c r="P20" s="89">
        <v>1</v>
      </c>
      <c r="Q20" s="71">
        <f>100*(72041.8-70983.8)/70938.8</f>
        <v>1.4914264126260945</v>
      </c>
      <c r="R20" s="10">
        <v>1</v>
      </c>
      <c r="S20" s="71">
        <f>(23367.6-13655)*100/13655</f>
        <v>71.128524350054917</v>
      </c>
      <c r="T20" s="69">
        <f>1-(S20-50)/50</f>
        <v>0.57742951299890166</v>
      </c>
      <c r="U20" s="10">
        <v>0.08</v>
      </c>
      <c r="V20" s="10">
        <v>1</v>
      </c>
      <c r="W20" s="76" t="s">
        <v>30</v>
      </c>
      <c r="X20" s="78">
        <v>1</v>
      </c>
      <c r="Y20" s="76" t="s">
        <v>30</v>
      </c>
      <c r="Z20" s="78">
        <v>1</v>
      </c>
      <c r="AA20" s="70">
        <f>100*1/1</f>
        <v>100</v>
      </c>
      <c r="AB20" s="78">
        <v>1</v>
      </c>
      <c r="AC20" s="76" t="s">
        <v>42</v>
      </c>
      <c r="AD20" s="76">
        <v>1</v>
      </c>
      <c r="AE20" s="76" t="s">
        <v>45</v>
      </c>
      <c r="AF20" s="11">
        <v>1</v>
      </c>
      <c r="AG20" s="76" t="s">
        <v>134</v>
      </c>
      <c r="AH20" s="78">
        <v>1</v>
      </c>
      <c r="AI20" s="78" t="s">
        <v>129</v>
      </c>
      <c r="AJ20" s="78">
        <v>1</v>
      </c>
      <c r="AK20" s="78" t="s">
        <v>108</v>
      </c>
      <c r="AL20" s="9">
        <v>0.5</v>
      </c>
      <c r="AM20" s="67" t="s">
        <v>97</v>
      </c>
      <c r="AN20" s="9">
        <v>1</v>
      </c>
      <c r="AO20" s="67" t="s">
        <v>97</v>
      </c>
      <c r="AP20" s="9">
        <v>1</v>
      </c>
      <c r="AQ20" s="15" t="s">
        <v>112</v>
      </c>
      <c r="AR20" s="9">
        <v>0</v>
      </c>
      <c r="AS20" s="9" t="s">
        <v>113</v>
      </c>
      <c r="AT20" s="9">
        <v>1</v>
      </c>
      <c r="AU20" s="78">
        <v>46.5</v>
      </c>
      <c r="AV20" s="18">
        <v>0</v>
      </c>
    </row>
    <row r="21" spans="1:48" s="1" customFormat="1" ht="32.1" customHeight="1">
      <c r="A21" s="15">
        <v>10</v>
      </c>
      <c r="B21" s="17" t="s">
        <v>4</v>
      </c>
      <c r="C21" s="87">
        <f t="shared" si="1"/>
        <v>0.95454545454545459</v>
      </c>
      <c r="D21" s="66">
        <f t="shared" si="0"/>
        <v>21</v>
      </c>
      <c r="E21" s="78">
        <v>0</v>
      </c>
      <c r="F21" s="78">
        <v>1</v>
      </c>
      <c r="G21" s="83" t="s">
        <v>30</v>
      </c>
      <c r="H21" s="78">
        <v>1</v>
      </c>
      <c r="I21" s="83" t="s">
        <v>30</v>
      </c>
      <c r="J21" s="78">
        <v>1</v>
      </c>
      <c r="K21" s="69">
        <f>100*70.5/94720.7</f>
        <v>7.442934860067546E-2</v>
      </c>
      <c r="L21" s="78">
        <v>1</v>
      </c>
      <c r="M21" s="73">
        <v>2</v>
      </c>
      <c r="N21" s="78">
        <v>1</v>
      </c>
      <c r="O21" s="76" t="s">
        <v>34</v>
      </c>
      <c r="P21" s="78">
        <v>1</v>
      </c>
      <c r="Q21" s="71">
        <f>100*(94720.7-94657.6)/94657.6</f>
        <v>6.6661314041335573E-2</v>
      </c>
      <c r="R21" s="10">
        <v>1</v>
      </c>
      <c r="S21" s="71">
        <f>(28013.6-21117.9)*100/21117.9</f>
        <v>32.653341478082559</v>
      </c>
      <c r="T21" s="73">
        <v>1</v>
      </c>
      <c r="U21" s="78">
        <v>0.01</v>
      </c>
      <c r="V21" s="78">
        <v>1</v>
      </c>
      <c r="W21" s="76" t="s">
        <v>30</v>
      </c>
      <c r="X21" s="78">
        <v>1</v>
      </c>
      <c r="Y21" s="76" t="s">
        <v>30</v>
      </c>
      <c r="Z21" s="78">
        <v>1</v>
      </c>
      <c r="AA21" s="70">
        <f>100*5/5</f>
        <v>100</v>
      </c>
      <c r="AB21" s="78">
        <v>1</v>
      </c>
      <c r="AC21" s="76" t="s">
        <v>42</v>
      </c>
      <c r="AD21" s="76">
        <v>1</v>
      </c>
      <c r="AE21" s="76" t="s">
        <v>45</v>
      </c>
      <c r="AF21" s="11">
        <v>1</v>
      </c>
      <c r="AG21" s="76" t="s">
        <v>134</v>
      </c>
      <c r="AH21" s="78">
        <v>1</v>
      </c>
      <c r="AI21" s="76" t="s">
        <v>50</v>
      </c>
      <c r="AJ21" s="78">
        <v>1</v>
      </c>
      <c r="AK21" s="78" t="s">
        <v>109</v>
      </c>
      <c r="AL21" s="9">
        <v>0.5</v>
      </c>
      <c r="AM21" s="67" t="s">
        <v>97</v>
      </c>
      <c r="AN21" s="9">
        <v>1</v>
      </c>
      <c r="AO21" s="67" t="s">
        <v>97</v>
      </c>
      <c r="AP21" s="9">
        <v>1</v>
      </c>
      <c r="AQ21" s="15" t="s">
        <v>95</v>
      </c>
      <c r="AR21" s="9">
        <v>0.5</v>
      </c>
      <c r="AS21" s="9" t="s">
        <v>96</v>
      </c>
      <c r="AT21" s="9">
        <v>1</v>
      </c>
      <c r="AU21" s="78">
        <v>1.65</v>
      </c>
      <c r="AV21" s="79">
        <v>1</v>
      </c>
    </row>
    <row r="22" spans="1:48" s="1" customFormat="1" ht="31.5" customHeight="1">
      <c r="A22" s="15">
        <v>11</v>
      </c>
      <c r="B22" s="16" t="s">
        <v>6</v>
      </c>
      <c r="C22" s="87">
        <f>D22/17</f>
        <v>0.68744159009099648</v>
      </c>
      <c r="D22" s="66">
        <f t="shared" si="0"/>
        <v>11.68650703154694</v>
      </c>
      <c r="E22" s="78">
        <v>0</v>
      </c>
      <c r="F22" s="78">
        <v>1</v>
      </c>
      <c r="G22" s="7" t="s">
        <v>94</v>
      </c>
      <c r="H22" s="78"/>
      <c r="I22" s="83" t="s">
        <v>30</v>
      </c>
      <c r="J22" s="80">
        <v>1</v>
      </c>
      <c r="K22" s="69">
        <f>100*85.3/8050</f>
        <v>1.0596273291925467</v>
      </c>
      <c r="L22" s="78">
        <v>1</v>
      </c>
      <c r="M22" s="73">
        <v>3</v>
      </c>
      <c r="N22" s="78">
        <v>1</v>
      </c>
      <c r="O22" s="7" t="s">
        <v>94</v>
      </c>
      <c r="P22" s="78"/>
      <c r="Q22" s="71">
        <f>100*(8050-7991.4)/7991.4</f>
        <v>0.73328828490627884</v>
      </c>
      <c r="R22" s="10">
        <v>1</v>
      </c>
      <c r="S22" s="71">
        <f>(462.2-263.1)*100/263.1</f>
        <v>75.674648422652965</v>
      </c>
      <c r="T22" s="69">
        <f>1-(S22-50)/50</f>
        <v>0.48650703154694075</v>
      </c>
      <c r="U22" s="78">
        <v>0</v>
      </c>
      <c r="V22" s="78">
        <v>1</v>
      </c>
      <c r="W22" s="76" t="s">
        <v>124</v>
      </c>
      <c r="X22" s="75">
        <v>1</v>
      </c>
      <c r="Y22" s="78" t="s">
        <v>94</v>
      </c>
      <c r="Z22" s="78"/>
      <c r="AA22" s="70" t="s">
        <v>94</v>
      </c>
      <c r="AB22" s="78"/>
      <c r="AC22" s="76" t="s">
        <v>42</v>
      </c>
      <c r="AD22" s="76">
        <v>1</v>
      </c>
      <c r="AE22" s="76" t="s">
        <v>125</v>
      </c>
      <c r="AF22" s="78">
        <v>0</v>
      </c>
      <c r="AG22" s="76" t="s">
        <v>133</v>
      </c>
      <c r="AH22" s="78">
        <v>1</v>
      </c>
      <c r="AI22" s="7" t="s">
        <v>130</v>
      </c>
      <c r="AJ22" s="78">
        <v>0</v>
      </c>
      <c r="AK22" s="78" t="s">
        <v>110</v>
      </c>
      <c r="AL22" s="9">
        <v>0.2</v>
      </c>
      <c r="AM22" s="67" t="s">
        <v>97</v>
      </c>
      <c r="AN22" s="9">
        <v>1</v>
      </c>
      <c r="AO22" s="15" t="s">
        <v>94</v>
      </c>
      <c r="AP22" s="85"/>
      <c r="AQ22" s="15" t="s">
        <v>98</v>
      </c>
      <c r="AR22" s="9">
        <v>0</v>
      </c>
      <c r="AS22" s="9" t="s">
        <v>99</v>
      </c>
      <c r="AT22" s="9">
        <v>1</v>
      </c>
      <c r="AU22" s="78">
        <v>43.3</v>
      </c>
      <c r="AV22" s="15">
        <v>0</v>
      </c>
    </row>
    <row r="23" spans="1:48" ht="21.6" customHeight="1">
      <c r="A23" s="90" t="s">
        <v>136</v>
      </c>
      <c r="B23" s="91"/>
      <c r="C23" s="87">
        <f>(C12+C13+C14+C15+C16+C17+C18+C19+C20+C21+C22)/11</f>
        <v>0.8372841819577207</v>
      </c>
      <c r="O23" s="82"/>
      <c r="AV23" s="81"/>
    </row>
    <row r="24" spans="1:48" s="1" customFormat="1" ht="25.5" customHeight="1">
      <c r="B24" s="92" t="s">
        <v>10</v>
      </c>
      <c r="C24" s="92"/>
      <c r="D24" s="92"/>
      <c r="E24" s="93"/>
      <c r="F24" s="93"/>
      <c r="G24" s="93"/>
      <c r="AM24" s="5"/>
    </row>
    <row r="25" spans="1:48" ht="38.1" customHeight="1">
      <c r="A25" s="94" t="s">
        <v>93</v>
      </c>
      <c r="B25" s="94"/>
      <c r="C25" s="94"/>
      <c r="D25" s="94"/>
      <c r="E25" s="94"/>
      <c r="F25" s="94"/>
      <c r="G25" s="94"/>
      <c r="H25" s="94"/>
      <c r="I25" s="94"/>
      <c r="J25" s="94"/>
      <c r="K25" s="94"/>
      <c r="L25" s="94"/>
      <c r="M25" s="94"/>
    </row>
    <row r="26" spans="1:48">
      <c r="C26" s="6"/>
    </row>
  </sheetData>
  <mergeCells count="35">
    <mergeCell ref="AI3:AJ4"/>
    <mergeCell ref="AO3:AP4"/>
    <mergeCell ref="AU3:AV4"/>
    <mergeCell ref="AM3:AN4"/>
    <mergeCell ref="AQ3:AR4"/>
    <mergeCell ref="AK3:AL4"/>
    <mergeCell ref="AS3:AT4"/>
    <mergeCell ref="I3:J4"/>
    <mergeCell ref="B1:R1"/>
    <mergeCell ref="K3:L4"/>
    <mergeCell ref="M3:N4"/>
    <mergeCell ref="U3:V4"/>
    <mergeCell ref="G2:P2"/>
    <mergeCell ref="Q3:R4"/>
    <mergeCell ref="S3:T4"/>
    <mergeCell ref="AC3:AD4"/>
    <mergeCell ref="AS7:AT7"/>
    <mergeCell ref="AS8:AT8"/>
    <mergeCell ref="A3:A11"/>
    <mergeCell ref="B3:B11"/>
    <mergeCell ref="C3:C11"/>
    <mergeCell ref="D3:D11"/>
    <mergeCell ref="AG3:AH4"/>
    <mergeCell ref="E3:F4"/>
    <mergeCell ref="G3:H4"/>
    <mergeCell ref="A23:B23"/>
    <mergeCell ref="B24:G24"/>
    <mergeCell ref="A25:M25"/>
    <mergeCell ref="AQ7:AR7"/>
    <mergeCell ref="AQ8:AR8"/>
    <mergeCell ref="O3:P4"/>
    <mergeCell ref="Y3:Z4"/>
    <mergeCell ref="AE3:AF4"/>
    <mergeCell ref="W3:X4"/>
    <mergeCell ref="AA3:AB4"/>
  </mergeCells>
  <pageMargins left="0.31496062992125984" right="0.23622047244094491" top="0.23622047244094491" bottom="0.19685039370078741" header="0.23622047244094491" footer="0.31496062992125984"/>
  <pageSetup paperSize="9" scale="53" fitToWidth="3" fitToHeight="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2019-02-20T11:33:56Z</dcterms:modified>
</cp:coreProperties>
</file>